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lope\Documents\1. PhD\17. Papers\3. Quantifying the agricultural footprint on the silicon cycle\9. Submission R1\Supplement_López-Urzúa_et_al todo\"/>
    </mc:Choice>
  </mc:AlternateContent>
  <xr:revisionPtr revIDLastSave="0" documentId="13_ncr:1_{F67ECC50-D8BD-4FD9-BC95-4D9D79C7DB76}" xr6:coauthVersionLast="47" xr6:coauthVersionMax="47" xr10:uidLastSave="{00000000-0000-0000-0000-000000000000}"/>
  <bookViews>
    <workbookView xWindow="22932" yWindow="-108" windowWidth="30936" windowHeight="16776" xr2:uid="{FF299C69-191E-4605-9301-08DB279E364A}"/>
  </bookViews>
  <sheets>
    <sheet name="Table S1" sheetId="5" r:id="rId1"/>
    <sheet name="Table S2" sheetId="1" r:id="rId2"/>
    <sheet name="Table S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" i="4" l="1"/>
  <c r="U48" i="5" l="1"/>
  <c r="S48" i="5"/>
  <c r="R48" i="5"/>
  <c r="N48" i="5"/>
  <c r="M48" i="5"/>
  <c r="V48" i="5" s="1"/>
  <c r="L48" i="5"/>
  <c r="H48" i="5"/>
  <c r="F48" i="5"/>
  <c r="G48" i="5"/>
  <c r="X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F17" i="5"/>
  <c r="W48" i="5"/>
  <c r="T48" i="5"/>
  <c r="AC44" i="5"/>
  <c r="AB44" i="5"/>
  <c r="AA44" i="5"/>
  <c r="Z44" i="5"/>
  <c r="Y44" i="5"/>
  <c r="T20" i="5"/>
  <c r="S20" i="5"/>
  <c r="R20" i="5"/>
  <c r="Q20" i="5"/>
  <c r="P20" i="5"/>
  <c r="O20" i="5"/>
  <c r="N20" i="5"/>
  <c r="M20" i="5"/>
  <c r="L20" i="5"/>
  <c r="H20" i="5"/>
  <c r="G20" i="5"/>
  <c r="F20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C14" i="4" l="1"/>
  <c r="J15" i="4"/>
  <c r="N3" i="4"/>
  <c r="P8" i="4"/>
  <c r="D14" i="4"/>
  <c r="N7" i="4" l="1"/>
  <c r="P4" i="4" l="1"/>
  <c r="Q4" i="4" s="1"/>
  <c r="G14" i="4"/>
  <c r="G15" i="4" s="1"/>
  <c r="G19" i="4" s="1"/>
  <c r="I14" i="4"/>
  <c r="I15" i="4" s="1"/>
  <c r="F14" i="4"/>
  <c r="F15" i="4" s="1"/>
  <c r="E14" i="4"/>
  <c r="E15" i="4" s="1"/>
  <c r="H14" i="4"/>
  <c r="H15" i="4" s="1"/>
  <c r="H27" i="4" s="1"/>
  <c r="D15" i="4"/>
  <c r="D22" i="4" s="1"/>
  <c r="C15" i="4"/>
  <c r="N11" i="4"/>
  <c r="L11" i="4"/>
  <c r="N10" i="4"/>
  <c r="L10" i="4"/>
  <c r="M10" i="4" s="1"/>
  <c r="N9" i="4"/>
  <c r="L9" i="4"/>
  <c r="Q8" i="4"/>
  <c r="N8" i="4"/>
  <c r="L8" i="4"/>
  <c r="M8" i="4" s="1"/>
  <c r="L7" i="4"/>
  <c r="N6" i="4"/>
  <c r="L6" i="4"/>
  <c r="N5" i="4"/>
  <c r="J21" i="4" s="1"/>
  <c r="L5" i="4"/>
  <c r="M5" i="4" s="1"/>
  <c r="N4" i="4"/>
  <c r="L4" i="4"/>
  <c r="J19" i="4"/>
  <c r="K3" i="4"/>
  <c r="L3" i="4" s="1"/>
  <c r="K15" i="4" l="1"/>
  <c r="P20" i="4" s="1"/>
  <c r="C19" i="4"/>
  <c r="C22" i="4"/>
  <c r="F26" i="4"/>
  <c r="C23" i="4"/>
  <c r="E19" i="4"/>
  <c r="E20" i="4"/>
  <c r="E23" i="4"/>
  <c r="E27" i="4"/>
  <c r="C26" i="4"/>
  <c r="H21" i="4"/>
  <c r="C25" i="4"/>
  <c r="D23" i="4"/>
  <c r="H20" i="4"/>
  <c r="I21" i="4"/>
  <c r="C27" i="4"/>
  <c r="D25" i="4"/>
  <c r="E24" i="4"/>
  <c r="H22" i="4"/>
  <c r="C20" i="4"/>
  <c r="D26" i="4"/>
  <c r="E25" i="4"/>
  <c r="H23" i="4"/>
  <c r="D24" i="4"/>
  <c r="C21" i="4"/>
  <c r="D19" i="4"/>
  <c r="D27" i="4"/>
  <c r="E26" i="4"/>
  <c r="H24" i="4"/>
  <c r="I25" i="4"/>
  <c r="D20" i="4"/>
  <c r="H25" i="4"/>
  <c r="I26" i="4"/>
  <c r="D21" i="4"/>
  <c r="H26" i="4"/>
  <c r="I27" i="4"/>
  <c r="C24" i="4"/>
  <c r="J23" i="4"/>
  <c r="M3" i="4"/>
  <c r="K19" i="4" s="1"/>
  <c r="J25" i="4"/>
  <c r="J26" i="4"/>
  <c r="M6" i="4"/>
  <c r="J22" i="4"/>
  <c r="J27" i="4"/>
  <c r="M4" i="4"/>
  <c r="M7" i="4"/>
  <c r="M9" i="4"/>
  <c r="M11" i="4"/>
  <c r="J24" i="4"/>
  <c r="J20" i="4"/>
  <c r="N20" i="4" l="1"/>
  <c r="M20" i="4"/>
  <c r="N21" i="4"/>
  <c r="L23" i="4"/>
  <c r="M23" i="4"/>
  <c r="M22" i="4"/>
  <c r="L25" i="4"/>
  <c r="N26" i="4"/>
  <c r="N24" i="4"/>
  <c r="N23" i="4"/>
  <c r="N25" i="4"/>
  <c r="N27" i="4"/>
  <c r="N22" i="4"/>
  <c r="K24" i="4"/>
  <c r="K25" i="4"/>
  <c r="L21" i="4"/>
  <c r="L20" i="4"/>
  <c r="K26" i="4"/>
  <c r="L26" i="4"/>
  <c r="L27" i="4"/>
  <c r="L24" i="4"/>
  <c r="K21" i="4"/>
  <c r="K20" i="4"/>
  <c r="K22" i="4"/>
  <c r="P24" i="4"/>
  <c r="K27" i="4"/>
  <c r="K23" i="4"/>
  <c r="M21" i="4"/>
  <c r="M24" i="4"/>
  <c r="M25" i="4"/>
  <c r="M26" i="4"/>
  <c r="M27" i="4"/>
  <c r="O20" i="4" l="1"/>
  <c r="O22" i="4"/>
  <c r="O25" i="4"/>
  <c r="M31" i="4"/>
  <c r="M32" i="4"/>
  <c r="L31" i="4"/>
  <c r="L32" i="4"/>
  <c r="Q24" i="4"/>
  <c r="R24" i="4" s="1"/>
  <c r="Q20" i="4"/>
  <c r="R20" i="4" s="1"/>
  <c r="L28" i="4"/>
  <c r="O21" i="4"/>
  <c r="O27" i="4"/>
  <c r="O24" i="4"/>
  <c r="L29" i="4"/>
  <c r="O26" i="4"/>
  <c r="O23" i="4"/>
  <c r="M28" i="4"/>
  <c r="M29" i="4"/>
  <c r="O28" i="4" l="1"/>
  <c r="O31" i="4"/>
  <c r="O32" i="4"/>
  <c r="R29" i="4"/>
  <c r="R28" i="4"/>
  <c r="O29" i="4"/>
</calcChain>
</file>

<file path=xl/sharedStrings.xml><?xml version="1.0" encoding="utf-8"?>
<sst xmlns="http://schemas.openxmlformats.org/spreadsheetml/2006/main" count="277" uniqueCount="178">
  <si>
    <t>Start Date</t>
  </si>
  <si>
    <t>End Date</t>
  </si>
  <si>
    <t>Year</t>
  </si>
  <si>
    <t>Annual Flux (mm/year)</t>
  </si>
  <si>
    <t xml:space="preserve"> (mol/m2.y)</t>
  </si>
  <si>
    <t>(mol/m2.y)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</si>
  <si>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</si>
  <si>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</si>
  <si>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</si>
  <si>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</si>
  <si>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</si>
  <si>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</si>
  <si>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</si>
  <si>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</si>
  <si>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</si>
  <si>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</si>
  <si>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</si>
  <si>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</si>
  <si>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</si>
  <si>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</si>
  <si>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</si>
  <si>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</si>
  <si>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</si>
  <si>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</si>
  <si>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</si>
  <si>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</si>
  <si>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</si>
  <si>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</si>
  <si>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 xml:space="preserve">Mean </t>
  </si>
  <si>
    <t>SD</t>
  </si>
  <si>
    <t>Depth</t>
  </si>
  <si>
    <t>n</t>
  </si>
  <si>
    <t>Kaolinite</t>
  </si>
  <si>
    <t>Microcline</t>
  </si>
  <si>
    <t>quartz</t>
  </si>
  <si>
    <t>muscovite</t>
  </si>
  <si>
    <t>vermiculite</t>
  </si>
  <si>
    <t>chamosite</t>
  </si>
  <si>
    <t>Albite</t>
  </si>
  <si>
    <t>Si normalized</t>
  </si>
  <si>
    <t xml:space="preserve">Ti normalized </t>
  </si>
  <si>
    <t>OM (ppm)</t>
  </si>
  <si>
    <t>SiO2 (ppm)</t>
  </si>
  <si>
    <t>SiO2(%)</t>
  </si>
  <si>
    <t>Atoms of Si</t>
  </si>
  <si>
    <t>Si content (%)</t>
  </si>
  <si>
    <t>Contribution proportion</t>
  </si>
  <si>
    <t>CDF</t>
  </si>
  <si>
    <t>mean</t>
  </si>
  <si>
    <t>sd</t>
  </si>
  <si>
    <t>240 Lag</t>
  </si>
  <si>
    <t>240 Ea</t>
  </si>
  <si>
    <t>240 Btg</t>
  </si>
  <si>
    <t>240 Ctg</t>
  </si>
  <si>
    <t>288 La</t>
  </si>
  <si>
    <t>288 S1</t>
  </si>
  <si>
    <t>288 S2</t>
  </si>
  <si>
    <t>288 S/Sg</t>
  </si>
  <si>
    <t>Shale</t>
  </si>
  <si>
    <t>Secondary minerals</t>
  </si>
  <si>
    <t>Name</t>
  </si>
  <si>
    <t xml:space="preserve"> (Kg/m2/year)</t>
  </si>
  <si>
    <t xml:space="preserve">            error </t>
  </si>
  <si>
    <t>E</t>
  </si>
  <si>
    <t>Primary minerals</t>
  </si>
  <si>
    <t>Formula</t>
  </si>
  <si>
    <t>Mineral molar mass</t>
  </si>
  <si>
    <t xml:space="preserve">Determined from chemisty </t>
  </si>
  <si>
    <t xml:space="preserve">Determined from mineralogy </t>
  </si>
  <si>
    <r>
      <t>(Fe²⁺)</t>
    </r>
    <r>
      <rPr>
        <vertAlign val="subscript"/>
        <sz val="11"/>
        <color rgb="FF202124"/>
        <rFont val="Arial"/>
        <family val="2"/>
      </rPr>
      <t>5</t>
    </r>
    <r>
      <rPr>
        <sz val="11"/>
        <color rgb="FF202124"/>
        <rFont val="Arial"/>
        <family val="2"/>
      </rPr>
      <t>Al(Si</t>
    </r>
    <r>
      <rPr>
        <vertAlign val="subscript"/>
        <sz val="11"/>
        <color rgb="FF202124"/>
        <rFont val="Arial"/>
        <family val="2"/>
      </rPr>
      <t>3</t>
    </r>
    <r>
      <rPr>
        <sz val="11"/>
        <color rgb="FF202124"/>
        <rFont val="Arial"/>
        <family val="2"/>
      </rPr>
      <t>Al)O₁₀(OH)₈</t>
    </r>
  </si>
  <si>
    <r>
      <t>SiO</t>
    </r>
    <r>
      <rPr>
        <vertAlign val="subscript"/>
        <sz val="11"/>
        <color theme="1"/>
        <rFont val="Arial"/>
        <family val="2"/>
      </rPr>
      <t>2</t>
    </r>
  </si>
  <si>
    <r>
      <t>KAl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​(AlSi</t>
    </r>
    <r>
      <rPr>
        <vertAlign val="sub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>10</t>
    </r>
    <r>
      <rPr>
        <sz val="11"/>
        <color theme="1"/>
        <rFont val="Arial"/>
        <family val="2"/>
      </rPr>
      <t>)​(OH)</t>
    </r>
    <r>
      <rPr>
        <vertAlign val="subscript"/>
        <sz val="11"/>
        <color theme="1"/>
        <rFont val="Arial"/>
        <family val="2"/>
      </rPr>
      <t>2​</t>
    </r>
  </si>
  <si>
    <r>
      <t>NaAlSi</t>
    </r>
    <r>
      <rPr>
        <vertAlign val="subscript"/>
        <sz val="11"/>
        <color theme="1"/>
        <rFont val="Arial"/>
        <family val="2"/>
      </rPr>
      <t>3​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>8</t>
    </r>
  </si>
  <si>
    <r>
      <t>KAlSi</t>
    </r>
    <r>
      <rPr>
        <vertAlign val="subscript"/>
        <sz val="11"/>
        <color theme="1"/>
        <rFont val="Arial"/>
        <family val="2"/>
      </rPr>
      <t>3​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>8​</t>
    </r>
  </si>
  <si>
    <r>
      <t>Al</t>
    </r>
    <r>
      <rPr>
        <vertAlign val="subscript"/>
        <sz val="11"/>
        <color theme="1"/>
        <rFont val="Arial"/>
        <family val="2"/>
      </rPr>
      <t>2​</t>
    </r>
    <r>
      <rPr>
        <sz val="11"/>
        <color theme="1"/>
        <rFont val="Arial"/>
        <family val="2"/>
      </rPr>
      <t>Si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​O</t>
    </r>
    <r>
      <rPr>
        <vertAlign val="subscript"/>
        <sz val="11"/>
        <color theme="1"/>
        <rFont val="Arial"/>
        <family val="2"/>
      </rPr>
      <t>5</t>
    </r>
    <r>
      <rPr>
        <sz val="11"/>
        <color theme="1"/>
        <rFont val="Arial"/>
        <family val="2"/>
      </rPr>
      <t>​(OH)</t>
    </r>
    <r>
      <rPr>
        <vertAlign val="subscript"/>
        <sz val="11"/>
        <color theme="1"/>
        <rFont val="Arial"/>
        <family val="2"/>
      </rPr>
      <t>4</t>
    </r>
  </si>
  <si>
    <r>
      <t>Mg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Al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(Al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Si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)O</t>
    </r>
    <r>
      <rPr>
        <vertAlign val="subscript"/>
        <sz val="11"/>
        <color theme="1"/>
        <rFont val="Arial"/>
        <family val="2"/>
      </rPr>
      <t>10</t>
    </r>
    <r>
      <rPr>
        <sz val="11"/>
        <color theme="1"/>
        <rFont val="Arial"/>
        <family val="2"/>
      </rPr>
      <t>(OH)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*8H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</si>
  <si>
    <r>
      <t>Ti (g mol</t>
    </r>
    <r>
      <rPr>
        <vertAlign val="superscript"/>
        <sz val="11"/>
        <color theme="1"/>
        <rFont val="Arial"/>
        <family val="2"/>
      </rPr>
      <t>-1</t>
    </r>
    <r>
      <rPr>
        <sz val="11"/>
        <color theme="1"/>
        <rFont val="Arial"/>
        <family val="2"/>
      </rPr>
      <t>)</t>
    </r>
  </si>
  <si>
    <r>
      <t>Si (g mol</t>
    </r>
    <r>
      <rPr>
        <vertAlign val="superscript"/>
        <sz val="11"/>
        <color theme="1"/>
        <rFont val="Arial"/>
        <family val="2"/>
      </rPr>
      <t>-1</t>
    </r>
    <r>
      <rPr>
        <sz val="11"/>
        <color theme="1"/>
        <rFont val="Arial"/>
        <family val="2"/>
      </rPr>
      <t>)</t>
    </r>
  </si>
  <si>
    <r>
      <t>SiO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-qtz</t>
    </r>
  </si>
  <si>
    <r>
      <t>Total SiO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(%)</t>
    </r>
  </si>
  <si>
    <r>
      <t>Total TiO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(%)</t>
    </r>
  </si>
  <si>
    <t xml:space="preserve">selected </t>
  </si>
  <si>
    <t>selected</t>
  </si>
  <si>
    <r>
      <t>[Si]</t>
    </r>
    <r>
      <rPr>
        <vertAlign val="subscript"/>
        <sz val="13"/>
        <color theme="1"/>
        <rFont val="Arial"/>
        <family val="2"/>
      </rPr>
      <t>sec</t>
    </r>
    <r>
      <rPr>
        <sz val="13"/>
        <color theme="1"/>
        <rFont val="Arial"/>
        <family val="2"/>
      </rPr>
      <t>/[Si]</t>
    </r>
    <r>
      <rPr>
        <vertAlign val="subscript"/>
        <sz val="13"/>
        <color theme="1"/>
        <rFont val="Arial"/>
        <family val="2"/>
      </rPr>
      <t>rock</t>
    </r>
  </si>
  <si>
    <r>
      <t>e</t>
    </r>
    <r>
      <rPr>
        <vertAlign val="subscript"/>
        <sz val="13"/>
        <color theme="1"/>
        <rFont val="Arial"/>
        <family val="2"/>
      </rPr>
      <t>sec</t>
    </r>
  </si>
  <si>
    <r>
      <t>[Si]</t>
    </r>
    <r>
      <rPr>
        <vertAlign val="subscript"/>
        <sz val="13"/>
        <color theme="1"/>
        <rFont val="Arial"/>
        <family val="2"/>
      </rPr>
      <t>org</t>
    </r>
  </si>
  <si>
    <r>
      <t>[Si]</t>
    </r>
    <r>
      <rPr>
        <vertAlign val="subscript"/>
        <sz val="13"/>
        <color theme="1"/>
        <rFont val="Arial"/>
        <family val="2"/>
      </rPr>
      <t>org</t>
    </r>
    <r>
      <rPr>
        <sz val="13"/>
        <color theme="1"/>
        <rFont val="Arial"/>
        <family val="2"/>
      </rPr>
      <t>/[Si]</t>
    </r>
    <r>
      <rPr>
        <vertAlign val="subscript"/>
        <sz val="13"/>
        <color theme="1"/>
        <rFont val="Arial"/>
        <family val="2"/>
      </rPr>
      <t>rock</t>
    </r>
  </si>
  <si>
    <r>
      <t>e</t>
    </r>
    <r>
      <rPr>
        <vertAlign val="subscript"/>
        <sz val="13"/>
        <color theme="1"/>
        <rFont val="Arial"/>
        <family val="2"/>
      </rPr>
      <t>org</t>
    </r>
  </si>
  <si>
    <t>Normalized to quartz</t>
  </si>
  <si>
    <r>
      <t>TiO</t>
    </r>
    <r>
      <rPr>
        <vertAlign val="subscript"/>
        <sz val="11"/>
        <color theme="1"/>
        <rFont val="Arial"/>
        <family val="2"/>
      </rPr>
      <t>2</t>
    </r>
  </si>
  <si>
    <t>Green values represent the mean and standard deviation (SD) used to calculate</t>
  </si>
  <si>
    <t>Red values were excluded as they do not represent valid CDF values. Sample 240 Btg corresponds to an illuvial horizon.</t>
  </si>
  <si>
    <r>
      <t>Ge/Si ratios (µmol mol</t>
    </r>
    <r>
      <rPr>
        <vertAlign val="superscript"/>
        <sz val="11"/>
        <color theme="1"/>
        <rFont val="Aptos Narrow"/>
        <family val="2"/>
        <scheme val="minor"/>
      </rPr>
      <t>-1</t>
    </r>
    <r>
      <rPr>
        <sz val="11"/>
        <color theme="1"/>
        <rFont val="Aptos Narrow"/>
        <family val="2"/>
        <scheme val="minor"/>
      </rPr>
      <t>)</t>
    </r>
  </si>
  <si>
    <t>bulk</t>
  </si>
  <si>
    <t>Quartz</t>
  </si>
  <si>
    <t>Plagioclase</t>
  </si>
  <si>
    <t>Feldspar</t>
  </si>
  <si>
    <t>Muscovite</t>
  </si>
  <si>
    <t>Biotite</t>
  </si>
  <si>
    <t>hornblende</t>
  </si>
  <si>
    <t>kaolinite</t>
  </si>
  <si>
    <t>kyanite</t>
  </si>
  <si>
    <t>Type of rock</t>
  </si>
  <si>
    <t>Reference</t>
  </si>
  <si>
    <t xml:space="preserve">site </t>
  </si>
  <si>
    <t>Paleoproterozoic biotite gneiss with granitoid intrusions</t>
  </si>
  <si>
    <t>Aguirre et al., 2017</t>
  </si>
  <si>
    <t>Gordon Gulch subcatchment of the Boulder Creek CZO</t>
  </si>
  <si>
    <t>Quartz Diorite</t>
  </si>
  <si>
    <t>Luquillo Experimental Forest</t>
  </si>
  <si>
    <t>saprolite minerals</t>
  </si>
  <si>
    <t>Lugolobi et al., 2010</t>
  </si>
  <si>
    <t>Saprolite Kaolinite</t>
  </si>
  <si>
    <t>Gneiss</t>
  </si>
  <si>
    <t>High Himalayan Crystalline Series gneisses near Dordi Khola</t>
  </si>
  <si>
    <t>Filippelli et al., 2000</t>
  </si>
  <si>
    <t>San Bernardino Mountains within southern California’s
San Gorgonio Wilderness Area</t>
  </si>
  <si>
    <t>Granite</t>
  </si>
  <si>
    <t>plagioclase‐phyric andesite</t>
  </si>
  <si>
    <t>Mount Hood
in Oregon, USA</t>
  </si>
  <si>
    <t xml:space="preserve">granitic plutonic </t>
  </si>
  <si>
    <t>Bernasconi Hills pluton in California, USA</t>
  </si>
  <si>
    <t>Tonalite</t>
  </si>
  <si>
    <t>Domenigoni Valley pluton in
California, USA</t>
  </si>
  <si>
    <t>Igneous rocks</t>
  </si>
  <si>
    <t>~0.5</t>
  </si>
  <si>
    <t>~1</t>
  </si>
  <si>
    <t>~9</t>
  </si>
  <si>
    <t>~4</t>
  </si>
  <si>
    <t xml:space="preserve">Kazakhstan </t>
  </si>
  <si>
    <t>all data</t>
  </si>
  <si>
    <t>Biotite =Chamosite</t>
  </si>
  <si>
    <t>selected values</t>
  </si>
  <si>
    <t>δ³⁰Si (‰)</t>
  </si>
  <si>
    <t>Qtz</t>
  </si>
  <si>
    <t>K-feld</t>
  </si>
  <si>
    <t xml:space="preserve">Biotite </t>
  </si>
  <si>
    <t>Amphibole</t>
  </si>
  <si>
    <t>illite</t>
  </si>
  <si>
    <t>lepidolite</t>
  </si>
  <si>
    <t>Site</t>
  </si>
  <si>
    <t>Frings et al., 2020a</t>
  </si>
  <si>
    <t>Alps</t>
  </si>
  <si>
    <t>Sierra Nevada</t>
  </si>
  <si>
    <t>Sri Lanka</t>
  </si>
  <si>
    <t>Pegmatite</t>
  </si>
  <si>
    <t>Megaliggar pegmatite</t>
  </si>
  <si>
    <t>Lepidolite granite</t>
  </si>
  <si>
    <t>Pegmatitic aplite</t>
  </si>
  <si>
    <t>Meldon pegmatite</t>
  </si>
  <si>
    <t>Caltech rose quartz</t>
  </si>
  <si>
    <t>Chmeleff et al., 2008</t>
  </si>
  <si>
    <t>Sandstone</t>
  </si>
  <si>
    <t>Steinhoefel et al., 2011</t>
  </si>
  <si>
    <t xml:space="preserve">Black Forest, Germany </t>
  </si>
  <si>
    <t>Paragneiss</t>
  </si>
  <si>
    <t>Steinhoefel et al., 2017</t>
  </si>
  <si>
    <t>Ziegler et al., 2005</t>
  </si>
  <si>
    <t>Luquillo, Puerto Rico</t>
  </si>
  <si>
    <t>Monzonite</t>
  </si>
  <si>
    <t>Liu et al., 2022</t>
  </si>
  <si>
    <t>Qinghu monzonite pluton, Southwestern Nanling Range, South China</t>
  </si>
  <si>
    <t>5*</t>
  </si>
  <si>
    <t>Georg et al., 2009</t>
  </si>
  <si>
    <t xml:space="preserve">Navajo Sandstones, Arizona EEUU *= secondary clays </t>
  </si>
  <si>
    <t>Douthitt. 1982</t>
  </si>
  <si>
    <t>Eagle Mts., CA</t>
  </si>
  <si>
    <t>Rose quartz std</t>
  </si>
  <si>
    <t>RuggIes</t>
  </si>
  <si>
    <t>Evje, Norway</t>
  </si>
  <si>
    <t>Antrim Shale</t>
  </si>
  <si>
    <t>Feldspar + plagioclase</t>
  </si>
  <si>
    <t>Biotite=chamosite</t>
  </si>
  <si>
    <t>Kurtz et al., 2011</t>
  </si>
  <si>
    <t>Evans and Derry, 2002</t>
  </si>
  <si>
    <t>He et al., 2019</t>
  </si>
  <si>
    <t xml:space="preserve"> Novokahatskiy et al., 1967 cited in Mortlock and Froelic, 1987</t>
  </si>
  <si>
    <t>Savage et al.,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</si>
</sst>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2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vertAlign val="subscript"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202124"/>
      <name val="Arial"/>
      <family val="2"/>
    </font>
    <font>
      <vertAlign val="subscript"/>
      <sz val="11"/>
      <color rgb="FF202124"/>
      <name val="Arial"/>
      <family val="2"/>
    </font>
    <font>
      <sz val="13"/>
      <color theme="1"/>
      <name val="Arial"/>
      <family val="2"/>
    </font>
    <font>
      <vertAlign val="subscript"/>
      <sz val="13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B050"/>
      <name val="Arial"/>
      <family val="2"/>
    </font>
    <font>
      <sz val="11"/>
      <color rgb="FF00B050"/>
      <name val="Aptos Narrow"/>
      <family val="2"/>
      <scheme val="minor"/>
    </font>
    <font>
      <sz val="11"/>
      <color rgb="FFFF0000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92D05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rgb="FF7F7F7F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2" xfId="0" applyFont="1" applyBorder="1"/>
    <xf numFmtId="0" fontId="1" fillId="0" borderId="0" xfId="0" applyFont="1"/>
    <xf numFmtId="0" fontId="0" fillId="2" borderId="0" xfId="0" applyFill="1"/>
    <xf numFmtId="0" fontId="2" fillId="0" borderId="0" xfId="0" applyFont="1"/>
    <xf numFmtId="0" fontId="2" fillId="0" borderId="2" xfId="0" applyFont="1" applyBorder="1"/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  <xf numFmtId="2" fontId="2" fillId="0" borderId="2" xfId="0" applyNumberFormat="1" applyFont="1" applyBorder="1"/>
    <xf numFmtId="2" fontId="2" fillId="0" borderId="0" xfId="0" applyNumberFormat="1" applyFont="1"/>
    <xf numFmtId="165" fontId="2" fillId="0" borderId="0" xfId="0" applyNumberFormat="1" applyFont="1"/>
    <xf numFmtId="0" fontId="4" fillId="0" borderId="0" xfId="0" applyFont="1" applyAlignment="1">
      <alignment horizontal="center" vertical="center"/>
    </xf>
    <xf numFmtId="166" fontId="2" fillId="0" borderId="0" xfId="0" applyNumberFormat="1" applyFont="1"/>
    <xf numFmtId="0" fontId="2" fillId="0" borderId="3" xfId="0" applyFont="1" applyBorder="1"/>
    <xf numFmtId="2" fontId="2" fillId="0" borderId="4" xfId="0" applyNumberFormat="1" applyFont="1" applyBorder="1"/>
    <xf numFmtId="2" fontId="2" fillId="0" borderId="3" xfId="0" applyNumberFormat="1" applyFont="1" applyBorder="1"/>
    <xf numFmtId="165" fontId="2" fillId="0" borderId="3" xfId="0" applyNumberFormat="1" applyFont="1" applyBorder="1"/>
    <xf numFmtId="0" fontId="2" fillId="0" borderId="10" xfId="0" applyFont="1" applyBorder="1"/>
    <xf numFmtId="0" fontId="2" fillId="0" borderId="11" xfId="0" applyFont="1" applyBorder="1"/>
    <xf numFmtId="164" fontId="2" fillId="0" borderId="2" xfId="0" applyNumberFormat="1" applyFont="1" applyBorder="1"/>
    <xf numFmtId="164" fontId="2" fillId="0" borderId="0" xfId="0" applyNumberFormat="1" applyFont="1"/>
    <xf numFmtId="2" fontId="7" fillId="0" borderId="2" xfId="0" applyNumberFormat="1" applyFont="1" applyBorder="1"/>
    <xf numFmtId="164" fontId="7" fillId="0" borderId="0" xfId="0" applyNumberFormat="1" applyFont="1"/>
    <xf numFmtId="1" fontId="2" fillId="0" borderId="2" xfId="0" applyNumberFormat="1" applyFont="1" applyBorder="1"/>
    <xf numFmtId="1" fontId="2" fillId="0" borderId="0" xfId="0" applyNumberFormat="1" applyFont="1"/>
    <xf numFmtId="0" fontId="3" fillId="0" borderId="2" xfId="0" applyFont="1" applyBorder="1"/>
    <xf numFmtId="0" fontId="3" fillId="0" borderId="0" xfId="0" applyFont="1"/>
    <xf numFmtId="0" fontId="4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/>
    <xf numFmtId="0" fontId="8" fillId="0" borderId="0" xfId="0" applyFont="1"/>
    <xf numFmtId="2" fontId="4" fillId="0" borderId="0" xfId="0" applyNumberFormat="1" applyFont="1"/>
    <xf numFmtId="0" fontId="0" fillId="0" borderId="10" xfId="0" applyBorder="1"/>
    <xf numFmtId="0" fontId="0" fillId="0" borderId="0" xfId="0" applyAlignment="1">
      <alignment wrapText="1"/>
    </xf>
    <xf numFmtId="2" fontId="0" fillId="0" borderId="2" xfId="0" applyNumberFormat="1" applyBorder="1"/>
    <xf numFmtId="2" fontId="0" fillId="0" borderId="0" xfId="0" applyNumberFormat="1"/>
    <xf numFmtId="0" fontId="0" fillId="0" borderId="2" xfId="0" applyBorder="1"/>
    <xf numFmtId="166" fontId="2" fillId="0" borderId="2" xfId="0" applyNumberFormat="1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10" fillId="0" borderId="1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" fillId="0" borderId="13" xfId="0" applyFont="1" applyBorder="1"/>
    <xf numFmtId="166" fontId="2" fillId="0" borderId="13" xfId="0" applyNumberFormat="1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12" xfId="0" applyFont="1" applyBorder="1"/>
    <xf numFmtId="0" fontId="2" fillId="0" borderId="7" xfId="0" applyFont="1" applyBorder="1" applyAlignment="1">
      <alignment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right" vertical="center"/>
    </xf>
    <xf numFmtId="2" fontId="13" fillId="0" borderId="3" xfId="0" applyNumberFormat="1" applyFont="1" applyBorder="1" applyAlignment="1">
      <alignment horizontal="right" vertical="center"/>
    </xf>
    <xf numFmtId="14" fontId="4" fillId="0" borderId="10" xfId="0" applyNumberFormat="1" applyFont="1" applyBorder="1" applyAlignment="1">
      <alignment horizontal="right" vertical="center"/>
    </xf>
    <xf numFmtId="14" fontId="4" fillId="0" borderId="0" xfId="0" applyNumberFormat="1" applyFont="1" applyAlignment="1">
      <alignment horizontal="right" vertical="center"/>
    </xf>
    <xf numFmtId="14" fontId="4" fillId="0" borderId="3" xfId="0" applyNumberFormat="1" applyFont="1" applyBorder="1" applyAlignment="1">
      <alignment horizontal="right" vertical="center"/>
    </xf>
    <xf numFmtId="0" fontId="7" fillId="0" borderId="0" xfId="0" applyFont="1"/>
    <xf numFmtId="164" fontId="2" fillId="0" borderId="4" xfId="0" applyNumberFormat="1" applyFont="1" applyBorder="1"/>
    <xf numFmtId="164" fontId="2" fillId="0" borderId="3" xfId="0" applyNumberFormat="1" applyFont="1" applyBorder="1"/>
    <xf numFmtId="0" fontId="2" fillId="0" borderId="4" xfId="0" applyFont="1" applyBorder="1"/>
    <xf numFmtId="0" fontId="2" fillId="0" borderId="5" xfId="0" applyFont="1" applyBorder="1"/>
    <xf numFmtId="2" fontId="2" fillId="0" borderId="12" xfId="0" applyNumberFormat="1" applyFont="1" applyBorder="1"/>
    <xf numFmtId="166" fontId="14" fillId="0" borderId="14" xfId="0" applyNumberFormat="1" applyFont="1" applyBorder="1"/>
    <xf numFmtId="2" fontId="2" fillId="0" borderId="6" xfId="0" applyNumberFormat="1" applyFont="1" applyBorder="1"/>
    <xf numFmtId="166" fontId="14" fillId="0" borderId="13" xfId="0" applyNumberFormat="1" applyFont="1" applyBorder="1"/>
    <xf numFmtId="1" fontId="2" fillId="0" borderId="7" xfId="0" applyNumberFormat="1" applyFont="1" applyBorder="1"/>
    <xf numFmtId="1" fontId="2" fillId="0" borderId="3" xfId="0" applyNumberFormat="1" applyFont="1" applyBorder="1"/>
    <xf numFmtId="1" fontId="14" fillId="0" borderId="5" xfId="0" applyNumberFormat="1" applyFont="1" applyBorder="1"/>
    <xf numFmtId="2" fontId="14" fillId="0" borderId="12" xfId="0" applyNumberFormat="1" applyFont="1" applyBorder="1"/>
    <xf numFmtId="2" fontId="14" fillId="0" borderId="10" xfId="0" applyNumberFormat="1" applyFont="1" applyBorder="1"/>
    <xf numFmtId="0" fontId="14" fillId="0" borderId="11" xfId="0" applyFont="1" applyBorder="1"/>
    <xf numFmtId="164" fontId="14" fillId="0" borderId="14" xfId="0" applyNumberFormat="1" applyFont="1" applyBorder="1"/>
    <xf numFmtId="0" fontId="14" fillId="0" borderId="14" xfId="0" applyFont="1" applyBorder="1"/>
    <xf numFmtId="2" fontId="14" fillId="0" borderId="6" xfId="0" applyNumberFormat="1" applyFont="1" applyBorder="1"/>
    <xf numFmtId="2" fontId="14" fillId="0" borderId="0" xfId="0" applyNumberFormat="1" applyFont="1"/>
    <xf numFmtId="0" fontId="14" fillId="0" borderId="2" xfId="0" applyFont="1" applyBorder="1"/>
    <xf numFmtId="164" fontId="14" fillId="0" borderId="13" xfId="0" applyNumberFormat="1" applyFont="1" applyBorder="1"/>
    <xf numFmtId="0" fontId="14" fillId="0" borderId="6" xfId="0" applyFont="1" applyBorder="1"/>
    <xf numFmtId="0" fontId="14" fillId="0" borderId="0" xfId="0" applyFont="1"/>
    <xf numFmtId="0" fontId="14" fillId="0" borderId="13" xfId="0" applyFont="1" applyBorder="1"/>
    <xf numFmtId="0" fontId="14" fillId="0" borderId="7" xfId="0" applyFont="1" applyBorder="1"/>
    <xf numFmtId="0" fontId="14" fillId="0" borderId="3" xfId="0" applyFont="1" applyBorder="1"/>
    <xf numFmtId="0" fontId="14" fillId="0" borderId="4" xfId="0" applyFont="1" applyBorder="1"/>
    <xf numFmtId="0" fontId="14" fillId="0" borderId="5" xfId="0" applyFont="1" applyBorder="1"/>
    <xf numFmtId="0" fontId="15" fillId="0" borderId="0" xfId="0" applyFont="1"/>
    <xf numFmtId="0" fontId="0" fillId="0" borderId="15" xfId="0" applyBorder="1"/>
    <xf numFmtId="0" fontId="0" fillId="0" borderId="9" xfId="0" applyBorder="1"/>
    <xf numFmtId="0" fontId="0" fillId="0" borderId="16" xfId="0" applyBorder="1"/>
    <xf numFmtId="0" fontId="0" fillId="0" borderId="8" xfId="0" applyBorder="1"/>
    <xf numFmtId="0" fontId="0" fillId="0" borderId="4" xfId="0" applyBorder="1" applyAlignment="1">
      <alignment wrapText="1"/>
    </xf>
    <xf numFmtId="2" fontId="0" fillId="0" borderId="15" xfId="0" applyNumberFormat="1" applyBorder="1"/>
    <xf numFmtId="2" fontId="0" fillId="0" borderId="9" xfId="0" applyNumberFormat="1" applyBorder="1"/>
    <xf numFmtId="2" fontId="0" fillId="0" borderId="16" xfId="0" applyNumberFormat="1" applyBorder="1"/>
    <xf numFmtId="0" fontId="0" fillId="0" borderId="4" xfId="0" applyBorder="1"/>
    <xf numFmtId="0" fontId="0" fillId="0" borderId="7" xfId="0" applyBorder="1"/>
    <xf numFmtId="0" fontId="0" fillId="0" borderId="11" xfId="0" applyBorder="1"/>
    <xf numFmtId="2" fontId="0" fillId="0" borderId="11" xfId="0" applyNumberFormat="1" applyBorder="1"/>
    <xf numFmtId="2" fontId="0" fillId="0" borderId="10" xfId="0" applyNumberFormat="1" applyBorder="1"/>
    <xf numFmtId="2" fontId="0" fillId="0" borderId="14" xfId="0" applyNumberFormat="1" applyBorder="1"/>
    <xf numFmtId="0" fontId="0" fillId="0" borderId="12" xfId="0" applyBorder="1"/>
    <xf numFmtId="2" fontId="0" fillId="0" borderId="4" xfId="0" applyNumberFormat="1" applyBorder="1"/>
    <xf numFmtId="2" fontId="0" fillId="0" borderId="3" xfId="0" applyNumberFormat="1" applyBorder="1"/>
    <xf numFmtId="2" fontId="0" fillId="0" borderId="5" xfId="0" applyNumberFormat="1" applyBorder="1"/>
    <xf numFmtId="1" fontId="0" fillId="0" borderId="3" xfId="0" applyNumberFormat="1" applyBorder="1"/>
    <xf numFmtId="0" fontId="0" fillId="0" borderId="11" xfId="0" applyBorder="1" applyAlignment="1">
      <alignment wrapText="1"/>
    </xf>
    <xf numFmtId="1" fontId="0" fillId="0" borderId="14" xfId="0" applyNumberFormat="1" applyBorder="1"/>
    <xf numFmtId="1" fontId="0" fillId="0" borderId="5" xfId="0" applyNumberFormat="1" applyBorder="1"/>
    <xf numFmtId="0" fontId="0" fillId="0" borderId="6" xfId="0" applyBorder="1"/>
    <xf numFmtId="2" fontId="0" fillId="0" borderId="13" xfId="0" applyNumberFormat="1" applyBorder="1"/>
    <xf numFmtId="1" fontId="0" fillId="0" borderId="13" xfId="0" applyNumberFormat="1" applyBorder="1"/>
    <xf numFmtId="1" fontId="0" fillId="0" borderId="0" xfId="0" applyNumberFormat="1"/>
    <xf numFmtId="0" fontId="0" fillId="0" borderId="6" xfId="0" applyBorder="1" applyAlignment="1">
      <alignment wrapText="1"/>
    </xf>
    <xf numFmtId="2" fontId="16" fillId="0" borderId="0" xfId="0" applyNumberFormat="1" applyFont="1"/>
    <xf numFmtId="0" fontId="0" fillId="0" borderId="15" xfId="0" applyBorder="1" applyAlignment="1">
      <alignment wrapText="1"/>
    </xf>
    <xf numFmtId="2" fontId="1" fillId="0" borderId="0" xfId="0" applyNumberFormat="1" applyFont="1"/>
    <xf numFmtId="0" fontId="0" fillId="3" borderId="15" xfId="0" applyFill="1" applyBorder="1"/>
    <xf numFmtId="0" fontId="0" fillId="3" borderId="9" xfId="0" applyFill="1" applyBorder="1"/>
    <xf numFmtId="0" fontId="0" fillId="3" borderId="16" xfId="0" applyFill="1" applyBorder="1"/>
    <xf numFmtId="2" fontId="1" fillId="0" borderId="15" xfId="0" applyNumberFormat="1" applyFont="1" applyBorder="1"/>
    <xf numFmtId="2" fontId="1" fillId="0" borderId="9" xfId="0" applyNumberFormat="1" applyFont="1" applyBorder="1"/>
    <xf numFmtId="1" fontId="1" fillId="0" borderId="16" xfId="0" applyNumberFormat="1" applyFont="1" applyBorder="1"/>
    <xf numFmtId="1" fontId="0" fillId="0" borderId="10" xfId="0" applyNumberFormat="1" applyBorder="1"/>
    <xf numFmtId="0" fontId="0" fillId="0" borderId="14" xfId="0" applyBorder="1"/>
    <xf numFmtId="0" fontId="0" fillId="0" borderId="13" xfId="0" applyBorder="1"/>
    <xf numFmtId="0" fontId="0" fillId="0" borderId="5" xfId="0" applyBorder="1"/>
    <xf numFmtId="1" fontId="0" fillId="0" borderId="16" xfId="0" applyNumberFormat="1" applyBorder="1"/>
    <xf numFmtId="1" fontId="0" fillId="0" borderId="9" xfId="0" applyNumberFormat="1" applyBorder="1"/>
    <xf numFmtId="0" fontId="18" fillId="3" borderId="15" xfId="0" applyFont="1" applyFill="1" applyBorder="1"/>
    <xf numFmtId="0" fontId="19" fillId="3" borderId="9" xfId="0" applyFont="1" applyFill="1" applyBorder="1"/>
    <xf numFmtId="1" fontId="1" fillId="0" borderId="0" xfId="0" applyNumberFormat="1" applyFont="1"/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5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0" borderId="0" xfId="0" applyAlignment="1">
      <alignment horizontal="center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192405</xdr:colOff>
      <xdr:row>0</xdr:row>
      <xdr:rowOff>57978</xdr:rowOff>
    </xdr:from>
    <xdr:to>
      <xdr:col>4</xdr:col>
      <xdr:colOff>544830</xdr:colOff>
      <xdr:row>0</xdr:row>
      <xdr:rowOff>229428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52F0708-2E1C-A4A3-5E42-260D7F918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9796" y="57978"/>
          <a:ext cx="352425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41413</xdr:colOff>
      <xdr:row>0</xdr:row>
      <xdr:rowOff>57979</xdr:rowOff>
    </xdr:from>
    <xdr:to>
      <xdr:col>5</xdr:col>
      <xdr:colOff>403363</xdr:colOff>
      <xdr:row>0</xdr:row>
      <xdr:rowOff>229429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4F26AC7-8347-4F22-A662-CB25ADA5E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5652" y="57979"/>
          <a:ext cx="3619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273326</xdr:colOff>
      <xdr:row>0</xdr:row>
      <xdr:rowOff>66261</xdr:rowOff>
    </xdr:from>
    <xdr:to>
      <xdr:col>7</xdr:col>
      <xdr:colOff>444776</xdr:colOff>
      <xdr:row>0</xdr:row>
      <xdr:rowOff>237711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3924657-A121-F456-2BC1-A6208D598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261" y="66261"/>
          <a:ext cx="1714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257144</xdr:colOff>
      <xdr:row>0</xdr:row>
      <xdr:rowOff>152703</xdr:rowOff>
    </xdr:from>
    <xdr:to>
      <xdr:col>8</xdr:col>
      <xdr:colOff>556255</xdr:colOff>
      <xdr:row>1</xdr:row>
      <xdr:rowOff>60641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FC7C545-A9EA-7765-7EFD-06D993BF5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51927" y="152703"/>
          <a:ext cx="308636" cy="171656"/>
        </a:xfrm>
        <a:prstGeom prst="rect">
          <a:avLst/>
        </a:prstGeom>
      </xdr:spPr>
    </xdr:pic>
    <xdr:clientData/>
  </xdr:twoCellAnchor>
  <xdr:twoCellAnchor editAs="oneCell">
    <xdr:from>
      <xdr:col>9</xdr:col>
      <xdr:colOff>190309</xdr:colOff>
      <xdr:row>0</xdr:row>
      <xdr:rowOff>144898</xdr:rowOff>
    </xdr:from>
    <xdr:to>
      <xdr:col>9</xdr:col>
      <xdr:colOff>514188</xdr:colOff>
      <xdr:row>1</xdr:row>
      <xdr:rowOff>56646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EE72507-7192-F5AF-62B0-ABD510C56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271939" y="144898"/>
          <a:ext cx="335309" cy="177371"/>
        </a:xfrm>
        <a:prstGeom prst="rect">
          <a:avLst/>
        </a:prstGeom>
      </xdr:spPr>
    </xdr:pic>
    <xdr:clientData/>
  </xdr:twoCellAnchor>
  <xdr:twoCellAnchor editAs="oneCell">
    <xdr:from>
      <xdr:col>10</xdr:col>
      <xdr:colOff>315690</xdr:colOff>
      <xdr:row>0</xdr:row>
      <xdr:rowOff>153085</xdr:rowOff>
    </xdr:from>
    <xdr:to>
      <xdr:col>10</xdr:col>
      <xdr:colOff>473820</xdr:colOff>
      <xdr:row>1</xdr:row>
      <xdr:rowOff>76263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493E630-F6E2-666F-F47E-8B33E9D499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184168" y="153085"/>
          <a:ext cx="158130" cy="175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171177</xdr:colOff>
      <xdr:row>17</xdr:row>
      <xdr:rowOff>44631</xdr:rowOff>
    </xdr:from>
    <xdr:to>
      <xdr:col>12</xdr:col>
      <xdr:colOff>596809</xdr:colOff>
      <xdr:row>17</xdr:row>
      <xdr:rowOff>308229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A9256B-F5C7-4D5E-55FA-8CA29FDFC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677" y="3691345"/>
          <a:ext cx="425632" cy="2635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267096</xdr:colOff>
      <xdr:row>30</xdr:row>
      <xdr:rowOff>150536</xdr:rowOff>
    </xdr:from>
    <xdr:to>
      <xdr:col>6</xdr:col>
      <xdr:colOff>205154</xdr:colOff>
      <xdr:row>32</xdr:row>
      <xdr:rowOff>28708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A206F69-4EA3-DAE0-99A6-0AAA9A564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9384" y="6385748"/>
          <a:ext cx="575501" cy="2445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549AE-813C-4429-B0D7-45B838E2EB00}">
  <dimension ref="B2:AE58"/>
  <sheetViews>
    <sheetView tabSelected="1" topLeftCell="C1" zoomScale="62" zoomScaleNormal="85" workbookViewId="0">
      <selection activeCell="V48" sqref="V48"/>
    </sheetView>
  </sheetViews>
  <sheetFormatPr baseColWidth="10" defaultRowHeight="14.4" x14ac:dyDescent="0.3"/>
  <cols>
    <col min="1" max="1" width="2.77734375" customWidth="1"/>
    <col min="2" max="2" width="18.44140625" customWidth="1"/>
    <col min="3" max="5" width="5.44140625" customWidth="1"/>
    <col min="6" max="7" width="6.6640625" customWidth="1"/>
    <col min="8" max="11" width="5.44140625" customWidth="1"/>
    <col min="12" max="12" width="6.6640625" customWidth="1"/>
    <col min="13" max="13" width="6.33203125" customWidth="1"/>
    <col min="14" max="17" width="5.44140625" customWidth="1"/>
    <col min="18" max="18" width="6.44140625" customWidth="1"/>
    <col min="19" max="20" width="5.44140625" customWidth="1"/>
    <col min="21" max="21" width="7.33203125" customWidth="1"/>
    <col min="22" max="28" width="5.44140625" customWidth="1"/>
    <col min="29" max="29" width="7.109375" customWidth="1"/>
    <col min="30" max="30" width="22.109375" customWidth="1"/>
    <col min="31" max="31" width="79.109375" customWidth="1"/>
  </cols>
  <sheetData>
    <row r="2" spans="2:31" ht="16.2" x14ac:dyDescent="0.3">
      <c r="C2" s="150" t="s">
        <v>92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2"/>
    </row>
    <row r="3" spans="2:31" x14ac:dyDescent="0.3">
      <c r="C3" s="150" t="s">
        <v>93</v>
      </c>
      <c r="D3" s="151"/>
      <c r="E3" s="152"/>
      <c r="F3" s="151" t="s">
        <v>94</v>
      </c>
      <c r="G3" s="151"/>
      <c r="H3" s="151"/>
      <c r="I3" s="150" t="s">
        <v>95</v>
      </c>
      <c r="J3" s="151"/>
      <c r="K3" s="152"/>
      <c r="L3" s="151" t="s">
        <v>96</v>
      </c>
      <c r="M3" s="151"/>
      <c r="N3" s="151"/>
      <c r="O3" s="150" t="s">
        <v>97</v>
      </c>
      <c r="P3" s="151"/>
      <c r="Q3" s="152"/>
      <c r="R3" s="151" t="s">
        <v>98</v>
      </c>
      <c r="S3" s="151"/>
      <c r="T3" s="151"/>
      <c r="U3" s="150" t="s">
        <v>99</v>
      </c>
      <c r="V3" s="151"/>
      <c r="W3" s="152"/>
      <c r="X3" s="151" t="s">
        <v>100</v>
      </c>
      <c r="Y3" s="151"/>
      <c r="Z3" s="151"/>
      <c r="AA3" s="150" t="s">
        <v>101</v>
      </c>
      <c r="AB3" s="151"/>
      <c r="AC3" s="152"/>
    </row>
    <row r="4" spans="2:31" x14ac:dyDescent="0.3">
      <c r="B4" s="105" t="s">
        <v>102</v>
      </c>
      <c r="C4" s="105" t="s">
        <v>48</v>
      </c>
      <c r="D4" s="106" t="s">
        <v>29</v>
      </c>
      <c r="E4" s="107" t="s">
        <v>31</v>
      </c>
      <c r="F4" s="106" t="s">
        <v>48</v>
      </c>
      <c r="G4" s="106" t="s">
        <v>29</v>
      </c>
      <c r="H4" s="106" t="s">
        <v>31</v>
      </c>
      <c r="I4" s="105" t="s">
        <v>48</v>
      </c>
      <c r="J4" s="106" t="s">
        <v>29</v>
      </c>
      <c r="K4" s="107" t="s">
        <v>31</v>
      </c>
      <c r="L4" s="106" t="s">
        <v>48</v>
      </c>
      <c r="M4" s="106" t="s">
        <v>29</v>
      </c>
      <c r="N4" s="106" t="s">
        <v>31</v>
      </c>
      <c r="O4" s="105" t="s">
        <v>48</v>
      </c>
      <c r="P4" s="106" t="s">
        <v>29</v>
      </c>
      <c r="Q4" s="107" t="s">
        <v>31</v>
      </c>
      <c r="R4" s="106" t="s">
        <v>48</v>
      </c>
      <c r="S4" s="106" t="s">
        <v>29</v>
      </c>
      <c r="T4" s="106" t="s">
        <v>31</v>
      </c>
      <c r="U4" s="105" t="s">
        <v>48</v>
      </c>
      <c r="V4" s="106" t="s">
        <v>29</v>
      </c>
      <c r="W4" s="107" t="s">
        <v>31</v>
      </c>
      <c r="X4" s="106" t="s">
        <v>48</v>
      </c>
      <c r="Y4" s="106" t="s">
        <v>29</v>
      </c>
      <c r="Z4" s="106" t="s">
        <v>31</v>
      </c>
      <c r="AA4" s="105" t="s">
        <v>48</v>
      </c>
      <c r="AB4" s="106" t="s">
        <v>29</v>
      </c>
      <c r="AC4" s="107" t="s">
        <v>31</v>
      </c>
      <c r="AD4" s="105" t="s">
        <v>103</v>
      </c>
      <c r="AE4" s="108" t="s">
        <v>104</v>
      </c>
    </row>
    <row r="5" spans="2:31" ht="43.2" x14ac:dyDescent="0.3">
      <c r="B5" s="109" t="s">
        <v>105</v>
      </c>
      <c r="C5" s="110"/>
      <c r="D5" s="111"/>
      <c r="E5" s="112"/>
      <c r="F5" s="111">
        <v>1.03</v>
      </c>
      <c r="G5" s="111"/>
      <c r="H5" s="111"/>
      <c r="I5" s="110"/>
      <c r="J5" s="111"/>
      <c r="K5" s="112"/>
      <c r="L5" s="111">
        <v>1.88</v>
      </c>
      <c r="M5" s="111"/>
      <c r="N5" s="111"/>
      <c r="O5" s="110">
        <v>2.02</v>
      </c>
      <c r="P5" s="111"/>
      <c r="Q5" s="112"/>
      <c r="R5" s="111">
        <v>2.58</v>
      </c>
      <c r="S5" s="111"/>
      <c r="T5" s="111"/>
      <c r="U5" s="110"/>
      <c r="V5" s="111"/>
      <c r="W5" s="112"/>
      <c r="X5" s="111"/>
      <c r="Y5" s="111"/>
      <c r="Z5" s="111"/>
      <c r="AA5" s="110"/>
      <c r="AB5" s="111"/>
      <c r="AC5" s="112"/>
      <c r="AD5" s="113" t="s">
        <v>106</v>
      </c>
      <c r="AE5" s="114" t="s">
        <v>107</v>
      </c>
    </row>
    <row r="6" spans="2:31" x14ac:dyDescent="0.3">
      <c r="B6" s="115" t="s">
        <v>108</v>
      </c>
      <c r="C6" s="116">
        <v>2.4</v>
      </c>
      <c r="D6" s="117"/>
      <c r="E6" s="118"/>
      <c r="F6" s="117">
        <v>0.5</v>
      </c>
      <c r="G6" s="117"/>
      <c r="H6" s="117"/>
      <c r="I6" s="116"/>
      <c r="J6" s="117"/>
      <c r="K6" s="118"/>
      <c r="L6" s="117">
        <v>3.1</v>
      </c>
      <c r="M6" s="117"/>
      <c r="N6" s="117"/>
      <c r="O6" s="116"/>
      <c r="P6" s="117"/>
      <c r="Q6" s="118"/>
      <c r="R6" s="117">
        <v>6.1</v>
      </c>
      <c r="S6" s="117"/>
      <c r="T6" s="117"/>
      <c r="U6" s="116">
        <v>6.6</v>
      </c>
      <c r="V6" s="117"/>
      <c r="W6" s="118"/>
      <c r="X6" s="117"/>
      <c r="Y6" s="117"/>
      <c r="Z6" s="117"/>
      <c r="AA6" s="116"/>
      <c r="AB6" s="117"/>
      <c r="AC6" s="118"/>
      <c r="AD6" s="115" t="s">
        <v>173</v>
      </c>
      <c r="AE6" s="119" t="s">
        <v>109</v>
      </c>
    </row>
    <row r="7" spans="2:31" x14ac:dyDescent="0.3">
      <c r="B7" s="113" t="s">
        <v>110</v>
      </c>
      <c r="C7" s="120"/>
      <c r="D7" s="121"/>
      <c r="E7" s="122"/>
      <c r="F7" s="121">
        <v>0.5</v>
      </c>
      <c r="G7" s="121"/>
      <c r="H7" s="121"/>
      <c r="I7" s="120"/>
      <c r="J7" s="121"/>
      <c r="K7" s="122"/>
      <c r="L7" s="121"/>
      <c r="M7" s="121"/>
      <c r="N7" s="121"/>
      <c r="O7" s="120"/>
      <c r="P7" s="121"/>
      <c r="Q7" s="122"/>
      <c r="R7" s="121">
        <v>5.3</v>
      </c>
      <c r="S7" s="121"/>
      <c r="T7" s="121"/>
      <c r="U7" s="120"/>
      <c r="V7" s="121"/>
      <c r="W7" s="122"/>
      <c r="X7" s="121">
        <v>5.9</v>
      </c>
      <c r="Y7" s="121"/>
      <c r="Z7" s="121"/>
      <c r="AA7" s="120"/>
      <c r="AB7" s="121"/>
      <c r="AC7" s="122"/>
      <c r="AD7" s="113"/>
      <c r="AE7" s="114"/>
    </row>
    <row r="8" spans="2:31" x14ac:dyDescent="0.3">
      <c r="B8" s="115" t="s">
        <v>108</v>
      </c>
      <c r="C8" s="116">
        <v>2</v>
      </c>
      <c r="D8" s="117"/>
      <c r="E8" s="118"/>
      <c r="F8" s="117">
        <v>0.5</v>
      </c>
      <c r="G8" s="117"/>
      <c r="H8" s="117"/>
      <c r="I8" s="116"/>
      <c r="J8" s="117"/>
      <c r="K8" s="118"/>
      <c r="L8" s="117">
        <v>1.5</v>
      </c>
      <c r="M8" s="117"/>
      <c r="N8" s="117"/>
      <c r="O8" s="116"/>
      <c r="P8" s="117"/>
      <c r="Q8" s="118"/>
      <c r="R8" s="117">
        <v>5.2</v>
      </c>
      <c r="S8" s="117"/>
      <c r="T8" s="117"/>
      <c r="U8" s="116">
        <v>7</v>
      </c>
      <c r="V8" s="117"/>
      <c r="W8" s="118"/>
      <c r="X8" s="117"/>
      <c r="Y8" s="117"/>
      <c r="Z8" s="117"/>
      <c r="AA8" s="116"/>
      <c r="AB8" s="117"/>
      <c r="AC8" s="118"/>
      <c r="AD8" s="115" t="s">
        <v>111</v>
      </c>
      <c r="AE8" s="119" t="s">
        <v>109</v>
      </c>
    </row>
    <row r="9" spans="2:31" x14ac:dyDescent="0.3">
      <c r="B9" s="113" t="s">
        <v>112</v>
      </c>
      <c r="C9" s="120"/>
      <c r="D9" s="121"/>
      <c r="E9" s="122"/>
      <c r="F9" s="121"/>
      <c r="G9" s="121"/>
      <c r="H9" s="121"/>
      <c r="I9" s="120"/>
      <c r="J9" s="121"/>
      <c r="K9" s="122"/>
      <c r="L9" s="121"/>
      <c r="M9" s="121"/>
      <c r="N9" s="121"/>
      <c r="O9" s="120"/>
      <c r="P9" s="121"/>
      <c r="Q9" s="122"/>
      <c r="R9" s="121"/>
      <c r="S9" s="121"/>
      <c r="T9" s="121"/>
      <c r="U9" s="120"/>
      <c r="V9" s="121"/>
      <c r="W9" s="122"/>
      <c r="X9" s="121">
        <v>5.27</v>
      </c>
      <c r="Y9" s="121">
        <v>0.72</v>
      </c>
      <c r="Z9" s="123">
        <v>3</v>
      </c>
      <c r="AA9" s="120"/>
      <c r="AB9" s="121"/>
      <c r="AC9" s="122"/>
      <c r="AD9" s="113"/>
      <c r="AE9" s="114"/>
    </row>
    <row r="10" spans="2:31" x14ac:dyDescent="0.3">
      <c r="B10" s="105" t="s">
        <v>113</v>
      </c>
      <c r="C10" s="110"/>
      <c r="D10" s="111"/>
      <c r="E10" s="112"/>
      <c r="F10" s="111"/>
      <c r="G10" s="111"/>
      <c r="H10" s="111"/>
      <c r="I10" s="110"/>
      <c r="J10" s="111"/>
      <c r="K10" s="112"/>
      <c r="L10" s="111">
        <v>1.83</v>
      </c>
      <c r="M10" s="111"/>
      <c r="N10" s="111"/>
      <c r="O10" s="110">
        <v>2.37</v>
      </c>
      <c r="P10" s="111"/>
      <c r="Q10" s="112"/>
      <c r="R10" s="111">
        <v>4.04</v>
      </c>
      <c r="S10" s="111"/>
      <c r="T10" s="111"/>
      <c r="U10" s="110"/>
      <c r="V10" s="111"/>
      <c r="W10" s="112"/>
      <c r="X10" s="111"/>
      <c r="Y10" s="111"/>
      <c r="Z10" s="111"/>
      <c r="AA10" s="110">
        <v>1.73</v>
      </c>
      <c r="AB10" s="111"/>
      <c r="AC10" s="112"/>
      <c r="AD10" s="105" t="s">
        <v>174</v>
      </c>
      <c r="AE10" s="108" t="s">
        <v>114</v>
      </c>
    </row>
    <row r="11" spans="2:31" x14ac:dyDescent="0.3">
      <c r="B11" s="124" t="s">
        <v>113</v>
      </c>
      <c r="C11" s="116">
        <v>1.19</v>
      </c>
      <c r="D11" s="117">
        <v>0.2</v>
      </c>
      <c r="E11" s="125">
        <v>2</v>
      </c>
      <c r="F11" s="117"/>
      <c r="G11" s="117"/>
      <c r="H11" s="117"/>
      <c r="I11" s="116"/>
      <c r="J11" s="117"/>
      <c r="K11" s="118"/>
      <c r="L11" s="117"/>
      <c r="M11" s="117"/>
      <c r="N11" s="117"/>
      <c r="O11" s="116"/>
      <c r="P11" s="117"/>
      <c r="Q11" s="118"/>
      <c r="R11" s="117"/>
      <c r="S11" s="117"/>
      <c r="T11" s="117"/>
      <c r="U11" s="116"/>
      <c r="V11" s="117"/>
      <c r="W11" s="118"/>
      <c r="X11" s="117"/>
      <c r="Y11" s="117"/>
      <c r="Z11" s="117"/>
      <c r="AA11" s="116"/>
      <c r="AB11" s="117"/>
      <c r="AC11" s="118"/>
      <c r="AD11" s="115" t="s">
        <v>115</v>
      </c>
      <c r="AE11" s="119" t="s">
        <v>116</v>
      </c>
    </row>
    <row r="12" spans="2:31" x14ac:dyDescent="0.3">
      <c r="B12" s="109" t="s">
        <v>117</v>
      </c>
      <c r="C12" s="120">
        <v>1.29</v>
      </c>
      <c r="D12" s="121"/>
      <c r="E12" s="126"/>
      <c r="F12" s="121"/>
      <c r="G12" s="121"/>
      <c r="H12" s="121"/>
      <c r="I12" s="120"/>
      <c r="J12" s="121"/>
      <c r="K12" s="122"/>
      <c r="L12" s="121"/>
      <c r="M12" s="121"/>
      <c r="N12" s="121"/>
      <c r="O12" s="120">
        <v>2</v>
      </c>
      <c r="P12" s="121"/>
      <c r="Q12" s="122"/>
      <c r="R12" s="121">
        <v>4.0999999999999996</v>
      </c>
      <c r="S12" s="121"/>
      <c r="T12" s="121"/>
      <c r="U12" s="120"/>
      <c r="V12" s="121"/>
      <c r="W12" s="122"/>
      <c r="X12" s="121"/>
      <c r="Y12" s="121"/>
      <c r="Z12" s="121"/>
      <c r="AA12" s="120"/>
      <c r="AB12" s="121"/>
      <c r="AC12" s="122"/>
      <c r="AD12" s="113"/>
      <c r="AE12" s="114"/>
    </row>
    <row r="13" spans="2:31" x14ac:dyDescent="0.3">
      <c r="B13" s="119" t="s">
        <v>118</v>
      </c>
      <c r="C13" s="116">
        <v>3.27</v>
      </c>
      <c r="D13" s="117">
        <v>0.27</v>
      </c>
      <c r="E13" s="125">
        <v>8</v>
      </c>
      <c r="F13" s="117"/>
      <c r="G13" s="117"/>
      <c r="H13" s="117"/>
      <c r="I13" s="116">
        <v>2.21</v>
      </c>
      <c r="J13" s="117">
        <v>0.27</v>
      </c>
      <c r="K13" s="125">
        <v>8</v>
      </c>
      <c r="L13" s="117"/>
      <c r="M13" s="117"/>
      <c r="N13" s="117"/>
      <c r="O13" s="116"/>
      <c r="P13" s="117"/>
      <c r="Q13" s="118"/>
      <c r="R13" s="117"/>
      <c r="S13" s="117"/>
      <c r="T13" s="117"/>
      <c r="U13" s="116">
        <v>20.98</v>
      </c>
      <c r="V13" s="117">
        <v>1.64</v>
      </c>
      <c r="W13" s="125">
        <v>8</v>
      </c>
      <c r="X13" s="117"/>
      <c r="Y13" s="117"/>
      <c r="Z13" s="117"/>
      <c r="AA13" s="116"/>
      <c r="AB13" s="117"/>
      <c r="AC13" s="118"/>
      <c r="AD13" s="115" t="s">
        <v>175</v>
      </c>
      <c r="AE13" s="119" t="s">
        <v>119</v>
      </c>
    </row>
    <row r="14" spans="2:31" x14ac:dyDescent="0.3">
      <c r="B14" s="127" t="s">
        <v>120</v>
      </c>
      <c r="C14" s="35"/>
      <c r="D14" s="36"/>
      <c r="E14" s="128"/>
      <c r="F14" s="36"/>
      <c r="G14" s="36"/>
      <c r="H14" s="36"/>
      <c r="I14" s="35">
        <v>3.47</v>
      </c>
      <c r="J14" s="36">
        <v>0.38</v>
      </c>
      <c r="K14" s="129">
        <v>13</v>
      </c>
      <c r="L14" s="36">
        <v>3.3</v>
      </c>
      <c r="M14" s="36">
        <v>0.12</v>
      </c>
      <c r="N14" s="130">
        <v>5</v>
      </c>
      <c r="O14" s="35"/>
      <c r="P14" s="36"/>
      <c r="Q14" s="128"/>
      <c r="R14" s="36"/>
      <c r="S14" s="36"/>
      <c r="T14" s="36"/>
      <c r="U14" s="35"/>
      <c r="V14" s="36"/>
      <c r="W14" s="128"/>
      <c r="X14" s="36"/>
      <c r="Y14" s="36"/>
      <c r="Z14" s="36"/>
      <c r="AA14" s="35"/>
      <c r="AB14" s="36"/>
      <c r="AC14" s="128"/>
      <c r="AD14" s="37"/>
      <c r="AE14" s="127" t="s">
        <v>121</v>
      </c>
    </row>
    <row r="15" spans="2:31" x14ac:dyDescent="0.3">
      <c r="B15" s="131" t="s">
        <v>122</v>
      </c>
      <c r="C15" s="35"/>
      <c r="D15" s="36"/>
      <c r="E15" s="128"/>
      <c r="F15" s="36">
        <v>1.08</v>
      </c>
      <c r="G15" s="36">
        <v>0.2</v>
      </c>
      <c r="H15" s="36">
        <v>5</v>
      </c>
      <c r="I15" s="35">
        <v>3.07</v>
      </c>
      <c r="J15" s="36">
        <v>0.49</v>
      </c>
      <c r="K15" s="129">
        <v>10</v>
      </c>
      <c r="L15" s="36"/>
      <c r="M15" s="36"/>
      <c r="N15" s="36"/>
      <c r="O15" s="35"/>
      <c r="P15" s="36"/>
      <c r="Q15" s="128"/>
      <c r="R15" s="132">
        <v>21.92</v>
      </c>
      <c r="S15" s="36">
        <v>0.9</v>
      </c>
      <c r="T15" s="130">
        <v>5</v>
      </c>
      <c r="U15" s="35"/>
      <c r="V15" s="36"/>
      <c r="W15" s="128"/>
      <c r="X15" s="36"/>
      <c r="Y15" s="36"/>
      <c r="Z15" s="36"/>
      <c r="AA15" s="35"/>
      <c r="AB15" s="36"/>
      <c r="AC15" s="128"/>
      <c r="AD15" s="37"/>
      <c r="AE15" s="114" t="s">
        <v>123</v>
      </c>
    </row>
    <row r="16" spans="2:31" x14ac:dyDescent="0.3">
      <c r="B16" s="133" t="s">
        <v>124</v>
      </c>
      <c r="C16" s="105"/>
      <c r="D16" s="106"/>
      <c r="E16" s="107"/>
      <c r="F16" s="106" t="s">
        <v>125</v>
      </c>
      <c r="G16" s="106"/>
      <c r="H16" s="106"/>
      <c r="I16" s="105" t="s">
        <v>126</v>
      </c>
      <c r="J16" s="106"/>
      <c r="K16" s="107"/>
      <c r="L16" s="106"/>
      <c r="M16" s="106"/>
      <c r="N16" s="106"/>
      <c r="O16" s="105"/>
      <c r="P16" s="106"/>
      <c r="Q16" s="107"/>
      <c r="R16" s="106" t="s">
        <v>127</v>
      </c>
      <c r="S16" s="106"/>
      <c r="T16" s="106"/>
      <c r="U16" s="105" t="s">
        <v>128</v>
      </c>
      <c r="V16" s="106"/>
      <c r="W16" s="107"/>
      <c r="X16" s="106"/>
      <c r="Y16" s="106"/>
      <c r="Z16" s="106"/>
      <c r="AA16" s="105"/>
      <c r="AB16" s="106"/>
      <c r="AC16" s="107"/>
      <c r="AD16" s="108" t="s">
        <v>176</v>
      </c>
      <c r="AE16" s="107" t="s">
        <v>129</v>
      </c>
    </row>
    <row r="17" spans="2:31" x14ac:dyDescent="0.3">
      <c r="B17" s="105" t="s">
        <v>130</v>
      </c>
      <c r="C17" s="105"/>
      <c r="D17" s="106"/>
      <c r="E17" s="107"/>
      <c r="F17" s="110">
        <f>AVERAGE(F5:F15)</f>
        <v>0.72200000000000009</v>
      </c>
      <c r="G17" s="111">
        <f>_xlfn.STDEV.S(F5:F15)</f>
        <v>0.30449958949069195</v>
      </c>
      <c r="H17" s="112">
        <f>COUNT(F5:F15)</f>
        <v>5</v>
      </c>
      <c r="I17" s="110">
        <f>AVERAGE(I5:I15)</f>
        <v>2.9166666666666665</v>
      </c>
      <c r="J17" s="111">
        <f>_xlfn.STDEV.S(I5:I15)</f>
        <v>0.64384263087600291</v>
      </c>
      <c r="K17" s="112">
        <f>COUNT(I5:I15)</f>
        <v>3</v>
      </c>
      <c r="L17" s="110">
        <f>AVERAGE(L5:L15)</f>
        <v>2.3220000000000001</v>
      </c>
      <c r="M17" s="111">
        <f>_xlfn.STDEV.S(L5:L15)</f>
        <v>0.81775301894887575</v>
      </c>
      <c r="N17" s="112">
        <f>COUNT(L5:L15)</f>
        <v>5</v>
      </c>
      <c r="O17" s="110">
        <f>AVERAGE(O5:O15)</f>
        <v>2.1300000000000003</v>
      </c>
      <c r="P17" s="111">
        <f>_xlfn.STDEV.S(O5:O15)</f>
        <v>0.20808652046684817</v>
      </c>
      <c r="Q17" s="112">
        <f>COUNT(O5:O15)</f>
        <v>3</v>
      </c>
      <c r="R17" s="110">
        <f>AVERAGE(R5:R15)</f>
        <v>7.0342857142857147</v>
      </c>
      <c r="S17" s="111">
        <f>_xlfn.STDEV.S(R5:R15)</f>
        <v>6.6614084024898155</v>
      </c>
      <c r="T17" s="112">
        <f>COUNT(R5:R15)</f>
        <v>7</v>
      </c>
    </row>
    <row r="18" spans="2:31" x14ac:dyDescent="0.3">
      <c r="U18" s="134"/>
      <c r="V18" s="134"/>
      <c r="W18" s="134"/>
      <c r="X18" s="134"/>
      <c r="Y18" s="134"/>
      <c r="Z18" s="134"/>
      <c r="AA18" s="134"/>
      <c r="AB18" s="134"/>
      <c r="AC18" s="134"/>
    </row>
    <row r="19" spans="2:31" x14ac:dyDescent="0.3">
      <c r="F19" s="153" t="s">
        <v>94</v>
      </c>
      <c r="G19" s="154"/>
      <c r="H19" s="155"/>
      <c r="L19" s="153" t="s">
        <v>96</v>
      </c>
      <c r="M19" s="154"/>
      <c r="N19" s="155"/>
      <c r="O19" s="153" t="s">
        <v>97</v>
      </c>
      <c r="P19" s="154"/>
      <c r="Q19" s="155"/>
      <c r="R19" s="153" t="s">
        <v>131</v>
      </c>
      <c r="S19" s="154"/>
      <c r="T19" s="155"/>
    </row>
    <row r="20" spans="2:31" x14ac:dyDescent="0.3">
      <c r="C20" s="135" t="s">
        <v>132</v>
      </c>
      <c r="D20" s="136"/>
      <c r="E20" s="137"/>
      <c r="F20" s="138">
        <f>AVERAGE(F5:F15)</f>
        <v>0.72200000000000009</v>
      </c>
      <c r="G20" s="139">
        <f>_xlfn.STDEV.S(F5:F15)</f>
        <v>0.30449958949069195</v>
      </c>
      <c r="H20" s="140">
        <f>COUNT(F5:F15)</f>
        <v>5</v>
      </c>
      <c r="I20" s="134"/>
      <c r="J20" s="134"/>
      <c r="K20" s="134"/>
      <c r="L20" s="138">
        <f>AVERAGE(L5:L15,I13:I15)</f>
        <v>2.5449999999999999</v>
      </c>
      <c r="M20" s="139">
        <f>_xlfn.STDEV.S(L5:L15,I13:I15)</f>
        <v>0.77154760986326343</v>
      </c>
      <c r="N20" s="140">
        <f>COUNT(L5:L15,I13:I15)</f>
        <v>8</v>
      </c>
      <c r="O20" s="138">
        <f>AVERAGE(O5:O15)</f>
        <v>2.1300000000000003</v>
      </c>
      <c r="P20" s="139">
        <f>_xlfn.STDEV.S(O5:O15)</f>
        <v>0.20808652046684817</v>
      </c>
      <c r="Q20" s="140">
        <f>COUNT(O5:O15)</f>
        <v>3</v>
      </c>
      <c r="R20" s="138">
        <f>AVERAGE(R5:R12)</f>
        <v>4.5533333333333337</v>
      </c>
      <c r="S20" s="139">
        <f>_xlfn.STDEV.S(R5:R12)</f>
        <v>1.2434575451806407</v>
      </c>
      <c r="T20" s="140">
        <f>COUNT(R5:R12)</f>
        <v>6</v>
      </c>
    </row>
    <row r="22" spans="2:31" x14ac:dyDescent="0.3">
      <c r="C22" s="150" t="s">
        <v>133</v>
      </c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2"/>
    </row>
    <row r="23" spans="2:31" x14ac:dyDescent="0.3">
      <c r="C23" s="105" t="s">
        <v>93</v>
      </c>
      <c r="D23" s="106"/>
      <c r="E23" s="107"/>
      <c r="F23" s="105" t="s">
        <v>134</v>
      </c>
      <c r="G23" s="106"/>
      <c r="H23" s="107"/>
      <c r="I23" s="105" t="s">
        <v>95</v>
      </c>
      <c r="J23" s="106"/>
      <c r="K23" s="107"/>
      <c r="L23" t="s">
        <v>135</v>
      </c>
      <c r="O23" s="105" t="s">
        <v>38</v>
      </c>
      <c r="P23" s="106"/>
      <c r="Q23" s="107"/>
      <c r="R23" s="105" t="s">
        <v>136</v>
      </c>
      <c r="S23" s="106"/>
      <c r="T23" s="107"/>
      <c r="U23" t="s">
        <v>137</v>
      </c>
      <c r="X23" s="105" t="s">
        <v>138</v>
      </c>
      <c r="Y23" s="106"/>
      <c r="Z23" s="107"/>
      <c r="AA23" s="105" t="s">
        <v>139</v>
      </c>
      <c r="AB23" s="106"/>
      <c r="AC23" s="107"/>
    </row>
    <row r="24" spans="2:31" x14ac:dyDescent="0.3">
      <c r="B24" s="108" t="s">
        <v>102</v>
      </c>
      <c r="C24" s="105" t="s">
        <v>48</v>
      </c>
      <c r="D24" s="106" t="s">
        <v>29</v>
      </c>
      <c r="E24" s="107" t="s">
        <v>31</v>
      </c>
      <c r="F24" s="106" t="s">
        <v>48</v>
      </c>
      <c r="G24" s="106" t="s">
        <v>29</v>
      </c>
      <c r="H24" s="106" t="s">
        <v>31</v>
      </c>
      <c r="I24" s="105" t="s">
        <v>48</v>
      </c>
      <c r="J24" s="106" t="s">
        <v>29</v>
      </c>
      <c r="K24" s="107" t="s">
        <v>31</v>
      </c>
      <c r="L24" s="106" t="s">
        <v>48</v>
      </c>
      <c r="M24" s="106" t="s">
        <v>29</v>
      </c>
      <c r="N24" s="106" t="s">
        <v>31</v>
      </c>
      <c r="O24" s="105" t="s">
        <v>48</v>
      </c>
      <c r="P24" s="106" t="s">
        <v>29</v>
      </c>
      <c r="Q24" s="107" t="s">
        <v>31</v>
      </c>
      <c r="R24" s="106" t="s">
        <v>48</v>
      </c>
      <c r="S24" s="106" t="s">
        <v>29</v>
      </c>
      <c r="T24" s="106" t="s">
        <v>31</v>
      </c>
      <c r="U24" s="105" t="s">
        <v>48</v>
      </c>
      <c r="V24" s="106" t="s">
        <v>29</v>
      </c>
      <c r="W24" s="107" t="s">
        <v>31</v>
      </c>
      <c r="X24" s="106" t="s">
        <v>48</v>
      </c>
      <c r="Y24" s="106" t="s">
        <v>29</v>
      </c>
      <c r="Z24" s="106" t="s">
        <v>31</v>
      </c>
      <c r="AA24" s="105" t="s">
        <v>48</v>
      </c>
      <c r="AB24" s="106" t="s">
        <v>29</v>
      </c>
      <c r="AC24" s="107" t="s">
        <v>31</v>
      </c>
      <c r="AD24" s="105" t="s">
        <v>103</v>
      </c>
      <c r="AE24" s="108" t="s">
        <v>140</v>
      </c>
    </row>
    <row r="25" spans="2:31" x14ac:dyDescent="0.3">
      <c r="B25" s="115" t="s">
        <v>117</v>
      </c>
      <c r="C25" s="116">
        <v>-0.14000000000000001</v>
      </c>
      <c r="D25" s="117">
        <v>0.03</v>
      </c>
      <c r="E25" s="125">
        <v>9</v>
      </c>
      <c r="F25" s="117">
        <v>-0.2</v>
      </c>
      <c r="G25" s="117">
        <v>0.05</v>
      </c>
      <c r="H25" s="141">
        <v>25</v>
      </c>
      <c r="I25" s="116">
        <v>-0.16</v>
      </c>
      <c r="J25" s="117">
        <v>7.0000000000000007E-2</v>
      </c>
      <c r="K25" s="125">
        <v>1</v>
      </c>
      <c r="L25" s="117">
        <v>-0.2</v>
      </c>
      <c r="M25" s="117">
        <v>0.04</v>
      </c>
      <c r="N25" s="141">
        <v>30</v>
      </c>
      <c r="O25" s="116"/>
      <c r="P25" s="117"/>
      <c r="Q25" s="118"/>
      <c r="R25" s="117">
        <v>-1.01</v>
      </c>
      <c r="S25" s="117">
        <v>0.38</v>
      </c>
      <c r="T25" s="141">
        <v>4</v>
      </c>
      <c r="U25" s="116"/>
      <c r="V25" s="117"/>
      <c r="W25" s="118"/>
      <c r="X25" s="117"/>
      <c r="Y25" s="117"/>
      <c r="Z25" s="117"/>
      <c r="AA25" s="116"/>
      <c r="AB25" s="117"/>
      <c r="AC25" s="118"/>
      <c r="AD25" s="33" t="s">
        <v>141</v>
      </c>
      <c r="AE25" s="119" t="s">
        <v>142</v>
      </c>
    </row>
    <row r="26" spans="2:31" x14ac:dyDescent="0.3">
      <c r="B26" s="37" t="s">
        <v>117</v>
      </c>
      <c r="C26" s="35">
        <v>-0.19</v>
      </c>
      <c r="D26" s="36">
        <v>0.04</v>
      </c>
      <c r="E26" s="129">
        <v>6</v>
      </c>
      <c r="F26" s="36">
        <v>-0.14000000000000001</v>
      </c>
      <c r="G26" s="36">
        <v>0.05</v>
      </c>
      <c r="H26" s="130">
        <v>14</v>
      </c>
      <c r="I26" s="35">
        <v>-0.21</v>
      </c>
      <c r="J26" s="36">
        <v>0.05</v>
      </c>
      <c r="K26" s="129">
        <v>27</v>
      </c>
      <c r="L26" s="36">
        <v>-0.19</v>
      </c>
      <c r="M26" s="36">
        <v>0.1</v>
      </c>
      <c r="N26" s="130">
        <v>7</v>
      </c>
      <c r="O26" s="35"/>
      <c r="P26" s="36"/>
      <c r="Q26" s="128"/>
      <c r="R26" s="36">
        <v>-0.57999999999999996</v>
      </c>
      <c r="S26" s="36">
        <v>0.04</v>
      </c>
      <c r="T26" s="130">
        <v>18</v>
      </c>
      <c r="U26" s="35"/>
      <c r="V26" s="36"/>
      <c r="W26" s="128"/>
      <c r="X26" s="36"/>
      <c r="Y26" s="36"/>
      <c r="Z26" s="36"/>
      <c r="AA26" s="35"/>
      <c r="AB26" s="36"/>
      <c r="AC26" s="128"/>
      <c r="AE26" s="127" t="s">
        <v>143</v>
      </c>
    </row>
    <row r="27" spans="2:31" x14ac:dyDescent="0.3">
      <c r="B27" s="113" t="s">
        <v>117</v>
      </c>
      <c r="C27" s="120">
        <v>-0.11</v>
      </c>
      <c r="D27" s="121">
        <v>0.03</v>
      </c>
      <c r="E27" s="126">
        <v>5</v>
      </c>
      <c r="F27" s="121">
        <v>-7.0000000000000007E-2</v>
      </c>
      <c r="G27" s="121">
        <v>0.08</v>
      </c>
      <c r="H27" s="123">
        <v>18</v>
      </c>
      <c r="I27" s="120">
        <v>-0.23</v>
      </c>
      <c r="J27" s="121">
        <v>0.06</v>
      </c>
      <c r="K27" s="126">
        <v>22</v>
      </c>
      <c r="L27" s="121">
        <v>-0.26</v>
      </c>
      <c r="M27" s="121">
        <v>0.12</v>
      </c>
      <c r="N27" s="123">
        <v>10</v>
      </c>
      <c r="O27" s="120"/>
      <c r="P27" s="121"/>
      <c r="Q27" s="122"/>
      <c r="R27" s="121">
        <v>-0.48</v>
      </c>
      <c r="S27" s="121">
        <v>0.09</v>
      </c>
      <c r="T27" s="123">
        <v>16</v>
      </c>
      <c r="U27" s="120"/>
      <c r="V27" s="121"/>
      <c r="W27" s="122"/>
      <c r="X27" s="121"/>
      <c r="Y27" s="121"/>
      <c r="Z27" s="121"/>
      <c r="AA27" s="120"/>
      <c r="AB27" s="121"/>
      <c r="AC27" s="122"/>
      <c r="AD27" s="30"/>
      <c r="AE27" s="114" t="s">
        <v>144</v>
      </c>
    </row>
    <row r="28" spans="2:31" x14ac:dyDescent="0.3">
      <c r="B28" s="119" t="s">
        <v>145</v>
      </c>
      <c r="C28" s="117"/>
      <c r="D28" s="117"/>
      <c r="E28" s="117"/>
      <c r="F28" s="116">
        <v>-0.34</v>
      </c>
      <c r="G28" s="117">
        <v>0.11</v>
      </c>
      <c r="H28" s="118"/>
      <c r="I28" s="117"/>
      <c r="J28" s="117"/>
      <c r="K28" s="117"/>
      <c r="L28" s="116"/>
      <c r="M28" s="117"/>
      <c r="N28" s="118"/>
      <c r="O28" s="117">
        <v>-0.48</v>
      </c>
      <c r="P28" s="117">
        <v>0.14000000000000001</v>
      </c>
      <c r="Q28" s="141">
        <v>11</v>
      </c>
      <c r="R28" s="116"/>
      <c r="S28" s="117"/>
      <c r="T28" s="118"/>
      <c r="U28" s="117"/>
      <c r="V28" s="117"/>
      <c r="W28" s="117"/>
      <c r="X28" s="116"/>
      <c r="Y28" s="117"/>
      <c r="Z28" s="118"/>
      <c r="AA28" s="117"/>
      <c r="AB28" s="117"/>
      <c r="AC28" s="117"/>
      <c r="AD28" s="119" t="s">
        <v>177</v>
      </c>
      <c r="AE28" s="142" t="s">
        <v>146</v>
      </c>
    </row>
    <row r="29" spans="2:31" x14ac:dyDescent="0.3">
      <c r="B29" s="127" t="s">
        <v>147</v>
      </c>
      <c r="C29" s="36"/>
      <c r="D29" s="36"/>
      <c r="E29" s="36"/>
      <c r="F29" s="35">
        <v>-0.33</v>
      </c>
      <c r="G29" s="36">
        <v>7.0000000000000007E-2</v>
      </c>
      <c r="H29" s="129">
        <v>11</v>
      </c>
      <c r="I29" s="36"/>
      <c r="J29" s="36"/>
      <c r="K29" s="36"/>
      <c r="L29" s="35"/>
      <c r="M29" s="36"/>
      <c r="N29" s="128"/>
      <c r="O29" s="36">
        <v>-0.43</v>
      </c>
      <c r="P29" s="36">
        <v>0.08</v>
      </c>
      <c r="Q29" s="130">
        <v>11</v>
      </c>
      <c r="R29" s="35"/>
      <c r="S29" s="36"/>
      <c r="T29" s="128"/>
      <c r="U29" s="36"/>
      <c r="V29" s="36"/>
      <c r="W29" s="36"/>
      <c r="X29" s="35"/>
      <c r="Y29" s="36"/>
      <c r="Z29" s="128"/>
      <c r="AA29" s="36">
        <v>-0.4</v>
      </c>
      <c r="AB29" s="36">
        <v>0.12</v>
      </c>
      <c r="AC29" s="130">
        <v>11</v>
      </c>
      <c r="AD29" s="127"/>
      <c r="AE29" s="143" t="s">
        <v>146</v>
      </c>
    </row>
    <row r="30" spans="2:31" x14ac:dyDescent="0.3">
      <c r="B30" s="114" t="s">
        <v>148</v>
      </c>
      <c r="C30" s="121"/>
      <c r="D30" s="121"/>
      <c r="E30" s="121"/>
      <c r="F30" s="120"/>
      <c r="G30" s="121"/>
      <c r="H30" s="122"/>
      <c r="I30" s="121"/>
      <c r="J30" s="121"/>
      <c r="K30" s="121"/>
      <c r="L30" s="120">
        <v>-0.22</v>
      </c>
      <c r="M30" s="121">
        <v>0.03</v>
      </c>
      <c r="N30" s="126">
        <v>11</v>
      </c>
      <c r="O30" s="121">
        <v>-0.28999999999999998</v>
      </c>
      <c r="P30" s="121">
        <v>0.03</v>
      </c>
      <c r="Q30" s="123">
        <v>11</v>
      </c>
      <c r="R30" s="120"/>
      <c r="S30" s="121"/>
      <c r="T30" s="122"/>
      <c r="U30" s="121"/>
      <c r="V30" s="121"/>
      <c r="W30" s="121"/>
      <c r="X30" s="120"/>
      <c r="Y30" s="121"/>
      <c r="Z30" s="122"/>
      <c r="AA30" s="121">
        <v>-0.31</v>
      </c>
      <c r="AB30" s="121">
        <v>0.16</v>
      </c>
      <c r="AC30" s="123">
        <v>11</v>
      </c>
      <c r="AD30" s="114"/>
      <c r="AE30" s="144" t="s">
        <v>149</v>
      </c>
    </row>
    <row r="31" spans="2:31" x14ac:dyDescent="0.3">
      <c r="B31" s="108" t="s">
        <v>150</v>
      </c>
      <c r="C31" s="110"/>
      <c r="D31" s="111"/>
      <c r="E31" s="112"/>
      <c r="F31" s="110">
        <v>0.1</v>
      </c>
      <c r="G31" s="111">
        <v>0.13</v>
      </c>
      <c r="H31" s="145">
        <v>14</v>
      </c>
      <c r="I31" s="110"/>
      <c r="J31" s="111"/>
      <c r="K31" s="112"/>
      <c r="L31" s="110"/>
      <c r="M31" s="111"/>
      <c r="N31" s="112"/>
      <c r="O31" s="110"/>
      <c r="P31" s="111"/>
      <c r="Q31" s="112"/>
      <c r="R31" s="110"/>
      <c r="S31" s="111"/>
      <c r="T31" s="112"/>
      <c r="U31" s="110"/>
      <c r="V31" s="111"/>
      <c r="W31" s="112"/>
      <c r="X31" s="110"/>
      <c r="Y31" s="111"/>
      <c r="Z31" s="112"/>
      <c r="AA31" s="110"/>
      <c r="AB31" s="111"/>
      <c r="AC31" s="112"/>
      <c r="AD31" s="108" t="s">
        <v>151</v>
      </c>
      <c r="AE31" s="108" t="s">
        <v>150</v>
      </c>
    </row>
    <row r="32" spans="2:31" x14ac:dyDescent="0.3">
      <c r="B32" s="115" t="s">
        <v>152</v>
      </c>
      <c r="C32" s="116"/>
      <c r="D32" s="117"/>
      <c r="E32" s="118"/>
      <c r="F32" s="117">
        <v>-0.36</v>
      </c>
      <c r="G32" s="117">
        <v>0.31</v>
      </c>
      <c r="H32" s="141">
        <v>7</v>
      </c>
      <c r="I32" s="116"/>
      <c r="J32" s="117"/>
      <c r="K32" s="118"/>
      <c r="L32" s="117">
        <v>-0.43</v>
      </c>
      <c r="M32" s="117">
        <v>0.24</v>
      </c>
      <c r="N32" s="141">
        <v>6</v>
      </c>
      <c r="O32" s="116"/>
      <c r="P32" s="117"/>
      <c r="Q32" s="118"/>
      <c r="R32" s="117"/>
      <c r="S32" s="117"/>
      <c r="T32" s="117"/>
      <c r="U32" s="116"/>
      <c r="V32" s="117"/>
      <c r="W32" s="118"/>
      <c r="X32" s="117">
        <v>-0.68</v>
      </c>
      <c r="Y32" s="117">
        <v>0.19</v>
      </c>
      <c r="Z32" s="141">
        <v>5</v>
      </c>
      <c r="AA32" s="116"/>
      <c r="AB32" s="117"/>
      <c r="AC32" s="118"/>
      <c r="AD32" s="33" t="s">
        <v>153</v>
      </c>
      <c r="AE32" s="119" t="s">
        <v>154</v>
      </c>
    </row>
    <row r="33" spans="2:31" x14ac:dyDescent="0.3">
      <c r="B33" s="113" t="s">
        <v>155</v>
      </c>
      <c r="C33" s="120"/>
      <c r="D33" s="121"/>
      <c r="E33" s="122"/>
      <c r="F33" s="121">
        <v>-0.33</v>
      </c>
      <c r="G33" s="121">
        <v>0.08</v>
      </c>
      <c r="H33" s="123">
        <v>5</v>
      </c>
      <c r="I33" s="120"/>
      <c r="J33" s="121"/>
      <c r="K33" s="122"/>
      <c r="L33" s="121">
        <v>-0.47</v>
      </c>
      <c r="M33" s="121">
        <v>0.21</v>
      </c>
      <c r="N33" s="123">
        <v>4</v>
      </c>
      <c r="O33" s="120"/>
      <c r="P33" s="121"/>
      <c r="Q33" s="122"/>
      <c r="R33" s="121">
        <v>-0.71</v>
      </c>
      <c r="S33" s="121">
        <v>0.19</v>
      </c>
      <c r="T33" s="123">
        <v>4</v>
      </c>
      <c r="U33" s="120"/>
      <c r="V33" s="121"/>
      <c r="W33" s="122"/>
      <c r="X33" s="121"/>
      <c r="Y33" s="121"/>
      <c r="Z33" s="121"/>
      <c r="AA33" s="120"/>
      <c r="AB33" s="121"/>
      <c r="AC33" s="122"/>
      <c r="AD33" s="30"/>
      <c r="AE33" s="114"/>
    </row>
    <row r="34" spans="2:31" x14ac:dyDescent="0.3">
      <c r="B34" s="115" t="s">
        <v>152</v>
      </c>
      <c r="C34" s="116"/>
      <c r="D34" s="117"/>
      <c r="E34" s="118"/>
      <c r="F34" s="117">
        <v>-0.35</v>
      </c>
      <c r="G34" s="117">
        <v>0.27</v>
      </c>
      <c r="H34" s="141">
        <v>18</v>
      </c>
      <c r="I34" s="116"/>
      <c r="J34" s="117"/>
      <c r="K34" s="118"/>
      <c r="L34" s="117">
        <v>-0.49</v>
      </c>
      <c r="M34" s="117">
        <v>0.3</v>
      </c>
      <c r="N34" s="141">
        <v>19</v>
      </c>
      <c r="O34" s="116"/>
      <c r="P34" s="117"/>
      <c r="Q34" s="118"/>
      <c r="R34" s="117"/>
      <c r="S34" s="117"/>
      <c r="T34" s="117"/>
      <c r="U34" s="116"/>
      <c r="V34" s="117"/>
      <c r="W34" s="118"/>
      <c r="X34" s="117">
        <v>-0.68</v>
      </c>
      <c r="Y34" s="117">
        <v>0.18</v>
      </c>
      <c r="Z34" s="141">
        <v>5</v>
      </c>
      <c r="AA34" s="116"/>
      <c r="AB34" s="117"/>
      <c r="AC34" s="118"/>
      <c r="AD34" s="33" t="s">
        <v>156</v>
      </c>
      <c r="AE34" s="119" t="s">
        <v>154</v>
      </c>
    </row>
    <row r="35" spans="2:31" x14ac:dyDescent="0.3">
      <c r="B35" s="113" t="s">
        <v>155</v>
      </c>
      <c r="C35" s="120"/>
      <c r="D35" s="121"/>
      <c r="E35" s="122"/>
      <c r="F35" s="121">
        <v>-0.22</v>
      </c>
      <c r="G35" s="121">
        <v>0.4</v>
      </c>
      <c r="H35" s="123">
        <v>18</v>
      </c>
      <c r="I35" s="120"/>
      <c r="J35" s="121"/>
      <c r="K35" s="122"/>
      <c r="L35" s="121">
        <v>-0.48</v>
      </c>
      <c r="M35" s="121">
        <v>0.32</v>
      </c>
      <c r="N35" s="123">
        <v>12</v>
      </c>
      <c r="O35" s="120"/>
      <c r="P35" s="121"/>
      <c r="Q35" s="122"/>
      <c r="R35" s="121">
        <v>-0.69</v>
      </c>
      <c r="S35" s="121">
        <v>0.37</v>
      </c>
      <c r="T35" s="123">
        <v>16</v>
      </c>
      <c r="U35" s="120"/>
      <c r="V35" s="121"/>
      <c r="W35" s="122"/>
      <c r="X35" s="121"/>
      <c r="Y35" s="121"/>
      <c r="Z35" s="121"/>
      <c r="AA35" s="120"/>
      <c r="AB35" s="121"/>
      <c r="AC35" s="122"/>
      <c r="AD35" s="30"/>
      <c r="AE35" s="114"/>
    </row>
    <row r="36" spans="2:31" x14ac:dyDescent="0.3">
      <c r="B36" s="105" t="s">
        <v>117</v>
      </c>
      <c r="C36" s="110"/>
      <c r="D36" s="111"/>
      <c r="E36" s="112"/>
      <c r="F36" s="111">
        <v>-0.2</v>
      </c>
      <c r="G36" s="111">
        <v>0.13</v>
      </c>
      <c r="H36" s="146">
        <v>10</v>
      </c>
      <c r="I36" s="110">
        <v>-0.1</v>
      </c>
      <c r="J36" s="111"/>
      <c r="K36" s="112"/>
      <c r="L36" s="111"/>
      <c r="M36" s="111"/>
      <c r="N36" s="111"/>
      <c r="O36" s="110"/>
      <c r="P36" s="111"/>
      <c r="Q36" s="112"/>
      <c r="R36" s="111">
        <v>-0.6</v>
      </c>
      <c r="S36" s="111"/>
      <c r="T36" s="111"/>
      <c r="U36" s="110"/>
      <c r="V36" s="111"/>
      <c r="W36" s="112"/>
      <c r="X36" s="111"/>
      <c r="Y36" s="111"/>
      <c r="Z36" s="111"/>
      <c r="AA36" s="110"/>
      <c r="AB36" s="111"/>
      <c r="AC36" s="112"/>
      <c r="AD36" s="106" t="s">
        <v>157</v>
      </c>
      <c r="AE36" s="108" t="s">
        <v>158</v>
      </c>
    </row>
    <row r="37" spans="2:31" x14ac:dyDescent="0.3">
      <c r="B37" s="108" t="s">
        <v>159</v>
      </c>
      <c r="C37" s="110"/>
      <c r="D37" s="111"/>
      <c r="E37" s="112"/>
      <c r="F37" s="110">
        <v>-0.03</v>
      </c>
      <c r="G37" s="111">
        <v>0.05</v>
      </c>
      <c r="H37" s="145">
        <v>20</v>
      </c>
      <c r="I37" s="110"/>
      <c r="J37" s="111"/>
      <c r="K37" s="112"/>
      <c r="L37" s="111"/>
      <c r="M37" s="111"/>
      <c r="N37" s="111"/>
      <c r="O37" s="110"/>
      <c r="P37" s="111"/>
      <c r="Q37" s="112"/>
      <c r="R37" s="111"/>
      <c r="S37" s="111"/>
      <c r="T37" s="111"/>
      <c r="U37" s="110"/>
      <c r="V37" s="111"/>
      <c r="W37" s="112"/>
      <c r="X37" s="111"/>
      <c r="Y37" s="111"/>
      <c r="Z37" s="111"/>
      <c r="AA37" s="110"/>
      <c r="AB37" s="111"/>
      <c r="AC37" s="112"/>
      <c r="AD37" s="106" t="s">
        <v>160</v>
      </c>
      <c r="AE37" s="108" t="s">
        <v>161</v>
      </c>
    </row>
    <row r="38" spans="2:31" x14ac:dyDescent="0.3">
      <c r="B38" s="108" t="s">
        <v>152</v>
      </c>
      <c r="C38" s="110"/>
      <c r="D38" s="111"/>
      <c r="E38" s="111"/>
      <c r="F38" s="110">
        <v>-0.09</v>
      </c>
      <c r="G38" s="111">
        <v>0.04</v>
      </c>
      <c r="H38" s="145">
        <v>9</v>
      </c>
      <c r="I38" s="111"/>
      <c r="J38" s="111"/>
      <c r="K38" s="111"/>
      <c r="L38" s="110">
        <v>-0.15</v>
      </c>
      <c r="M38" s="111">
        <v>0.04</v>
      </c>
      <c r="N38" s="145">
        <v>16</v>
      </c>
      <c r="O38" s="111"/>
      <c r="P38" s="111"/>
      <c r="Q38" s="111"/>
      <c r="R38" s="110"/>
      <c r="S38" s="111"/>
      <c r="T38" s="112"/>
      <c r="U38" s="111"/>
      <c r="V38" s="111"/>
      <c r="W38" s="111"/>
      <c r="X38" s="110">
        <v>-0.33</v>
      </c>
      <c r="Y38" s="111">
        <v>0.14000000000000001</v>
      </c>
      <c r="Z38" s="112" t="s">
        <v>162</v>
      </c>
      <c r="AA38" s="111"/>
      <c r="AB38" s="111"/>
      <c r="AC38" s="111"/>
      <c r="AD38" s="108" t="s">
        <v>163</v>
      </c>
      <c r="AE38" s="107" t="s">
        <v>164</v>
      </c>
    </row>
    <row r="39" spans="2:31" x14ac:dyDescent="0.3">
      <c r="B39" s="119" t="s">
        <v>159</v>
      </c>
      <c r="C39" s="117"/>
      <c r="D39" s="117"/>
      <c r="E39" s="117"/>
      <c r="F39" s="116">
        <v>0</v>
      </c>
      <c r="G39" s="117"/>
      <c r="H39" s="125"/>
      <c r="I39" s="117"/>
      <c r="J39" s="117"/>
      <c r="K39" s="117"/>
      <c r="L39" s="116">
        <v>-0.2</v>
      </c>
      <c r="M39" s="117"/>
      <c r="N39" s="118"/>
      <c r="O39" s="117"/>
      <c r="P39" s="117"/>
      <c r="Q39" s="117"/>
      <c r="R39" s="116"/>
      <c r="S39" s="117"/>
      <c r="T39" s="118"/>
      <c r="U39" s="117"/>
      <c r="V39" s="117"/>
      <c r="W39" s="117"/>
      <c r="X39" s="116"/>
      <c r="Y39" s="117"/>
      <c r="Z39" s="118"/>
      <c r="AA39" s="117"/>
      <c r="AB39" s="117"/>
      <c r="AC39" s="117"/>
      <c r="AD39" s="119" t="s">
        <v>165</v>
      </c>
      <c r="AE39" s="142" t="s">
        <v>166</v>
      </c>
    </row>
    <row r="40" spans="2:31" x14ac:dyDescent="0.3">
      <c r="B40" s="127" t="s">
        <v>167</v>
      </c>
      <c r="C40" s="36"/>
      <c r="D40" s="36"/>
      <c r="E40" s="36"/>
      <c r="F40" s="35">
        <v>0</v>
      </c>
      <c r="G40" s="36"/>
      <c r="H40" s="128"/>
      <c r="I40" s="36"/>
      <c r="J40" s="36"/>
      <c r="K40" s="36"/>
      <c r="L40" s="35"/>
      <c r="M40" s="36"/>
      <c r="N40" s="128"/>
      <c r="O40" s="36"/>
      <c r="P40" s="36"/>
      <c r="Q40" s="36"/>
      <c r="R40" s="35"/>
      <c r="S40" s="36"/>
      <c r="T40" s="128"/>
      <c r="U40" s="36"/>
      <c r="V40" s="36"/>
      <c r="W40" s="36"/>
      <c r="X40" s="35"/>
      <c r="Y40" s="36"/>
      <c r="Z40" s="128"/>
      <c r="AA40" s="36"/>
      <c r="AB40" s="36"/>
      <c r="AC40" s="36"/>
      <c r="AD40" s="127"/>
      <c r="AE40" s="143"/>
    </row>
    <row r="41" spans="2:31" x14ac:dyDescent="0.3">
      <c r="B41" s="127" t="s">
        <v>145</v>
      </c>
      <c r="C41" s="36"/>
      <c r="D41" s="36"/>
      <c r="E41" s="36"/>
      <c r="F41" s="35">
        <v>-0.2</v>
      </c>
      <c r="G41" s="36"/>
      <c r="H41" s="128"/>
      <c r="I41" s="36"/>
      <c r="J41" s="36"/>
      <c r="K41" s="36"/>
      <c r="L41" s="35"/>
      <c r="M41" s="36"/>
      <c r="N41" s="128"/>
      <c r="O41" s="36"/>
      <c r="P41" s="36"/>
      <c r="Q41" s="36"/>
      <c r="R41" s="35"/>
      <c r="S41" s="36"/>
      <c r="T41" s="128"/>
      <c r="U41" s="36"/>
      <c r="V41" s="36"/>
      <c r="W41" s="36"/>
      <c r="X41" s="35"/>
      <c r="Y41" s="36"/>
      <c r="Z41" s="128"/>
      <c r="AA41" s="36"/>
      <c r="AB41" s="36"/>
      <c r="AC41" s="36"/>
      <c r="AD41" s="127"/>
      <c r="AE41" s="143" t="s">
        <v>168</v>
      </c>
    </row>
    <row r="42" spans="2:31" x14ac:dyDescent="0.3">
      <c r="B42" s="127" t="s">
        <v>145</v>
      </c>
      <c r="C42" s="36"/>
      <c r="D42" s="36"/>
      <c r="E42" s="36"/>
      <c r="F42" s="35">
        <v>-0.1</v>
      </c>
      <c r="G42" s="36"/>
      <c r="H42" s="128"/>
      <c r="I42" s="36"/>
      <c r="J42" s="36"/>
      <c r="K42" s="36"/>
      <c r="L42" s="35"/>
      <c r="M42" s="36"/>
      <c r="N42" s="128"/>
      <c r="O42" s="36"/>
      <c r="P42" s="36"/>
      <c r="Q42" s="36"/>
      <c r="R42" s="35"/>
      <c r="S42" s="36"/>
      <c r="T42" s="128"/>
      <c r="U42" s="36"/>
      <c r="V42" s="36"/>
      <c r="W42" s="36"/>
      <c r="X42" s="35"/>
      <c r="Y42" s="36"/>
      <c r="Z42" s="128"/>
      <c r="AA42" s="36"/>
      <c r="AB42" s="36"/>
      <c r="AC42" s="36"/>
      <c r="AD42" s="127"/>
      <c r="AE42" s="143" t="s">
        <v>169</v>
      </c>
    </row>
    <row r="43" spans="2:31" x14ac:dyDescent="0.3">
      <c r="B43" s="114" t="s">
        <v>58</v>
      </c>
      <c r="C43" s="121"/>
      <c r="D43" s="121"/>
      <c r="E43" s="121"/>
      <c r="F43" s="120">
        <v>0.1</v>
      </c>
      <c r="G43" s="121"/>
      <c r="H43" s="122"/>
      <c r="I43" s="121"/>
      <c r="J43" s="121"/>
      <c r="K43" s="121"/>
      <c r="L43" s="120"/>
      <c r="M43" s="121"/>
      <c r="N43" s="122"/>
      <c r="O43" s="121"/>
      <c r="P43" s="121"/>
      <c r="Q43" s="121"/>
      <c r="R43" s="120"/>
      <c r="S43" s="121"/>
      <c r="T43" s="122"/>
      <c r="U43" s="121"/>
      <c r="V43" s="121"/>
      <c r="W43" s="121"/>
      <c r="X43" s="120"/>
      <c r="Y43" s="121"/>
      <c r="Z43" s="122"/>
      <c r="AA43" s="121"/>
      <c r="AB43" s="121"/>
      <c r="AC43" s="121"/>
      <c r="AD43" s="114"/>
      <c r="AE43" s="144" t="s">
        <v>170</v>
      </c>
    </row>
    <row r="44" spans="2:31" x14ac:dyDescent="0.3">
      <c r="B44" s="105" t="s">
        <v>130</v>
      </c>
      <c r="C44" s="105"/>
      <c r="D44" s="106"/>
      <c r="E44" s="107"/>
      <c r="F44" s="110">
        <f>AVERAGE(F25:F43)</f>
        <v>-0.15333333333333335</v>
      </c>
      <c r="G44" s="111">
        <f>_xlfn.STDEV.S(F25:F43)</f>
        <v>0.15227683768097383</v>
      </c>
      <c r="H44" s="145">
        <f>COUNT(F25:F43)</f>
        <v>18</v>
      </c>
      <c r="I44" s="110">
        <f>AVERAGE(I25:I38)</f>
        <v>-0.17499999999999999</v>
      </c>
      <c r="J44" s="111">
        <f>_xlfn.STDEV.S(I25:I38)</f>
        <v>5.8022983951764071E-2</v>
      </c>
      <c r="K44" s="145">
        <f>COUNT(I25:I38)</f>
        <v>4</v>
      </c>
      <c r="L44" s="110">
        <f>AVERAGE(L25:L39)</f>
        <v>-0.309</v>
      </c>
      <c r="M44" s="111">
        <f>_xlfn.STDEV.S(L25:L39)</f>
        <v>0.13987693003335314</v>
      </c>
      <c r="N44" s="145">
        <f>COUNT(L25:L39)</f>
        <v>10</v>
      </c>
      <c r="O44" s="110">
        <f>AVERAGE(O25:O38)</f>
        <v>-0.39999999999999997</v>
      </c>
      <c r="P44" s="111">
        <f>_xlfn.STDEV.S(O25:O38)</f>
        <v>9.8488578017961126E-2</v>
      </c>
      <c r="Q44" s="145">
        <f>COUNT(O25:O38)</f>
        <v>3</v>
      </c>
      <c r="R44" s="110">
        <f>AVERAGE(R25:R38)</f>
        <v>-0.67833333333333323</v>
      </c>
      <c r="S44" s="111">
        <f>_xlfn.STDEV.S(R25:R38)</f>
        <v>0.18236410465512901</v>
      </c>
      <c r="T44" s="145">
        <f>COUNT(R25:R38)</f>
        <v>6</v>
      </c>
      <c r="U44" s="36"/>
      <c r="V44" s="36"/>
      <c r="W44" s="36"/>
      <c r="X44" s="110">
        <f>AVERAGE(X25:X38)</f>
        <v>-0.56333333333333335</v>
      </c>
      <c r="Y44" s="111">
        <f>_xlfn.STDEV.S(X25:X38)</f>
        <v>0.20207259421636917</v>
      </c>
      <c r="Z44" s="145">
        <f>COUNT(X25:X38)</f>
        <v>3</v>
      </c>
      <c r="AA44" s="110">
        <f>AVERAGE(AA25:AA38)</f>
        <v>-0.35499999999999998</v>
      </c>
      <c r="AB44" s="111">
        <f>_xlfn.STDEV.S(AA25:AA38)</f>
        <v>6.3639610306789704E-2</v>
      </c>
      <c r="AC44" s="145">
        <f>COUNT(AA25:AA38)</f>
        <v>2</v>
      </c>
    </row>
    <row r="46" spans="2:31" x14ac:dyDescent="0.3">
      <c r="C46" s="2"/>
      <c r="D46" s="2"/>
      <c r="E46" s="2"/>
    </row>
    <row r="47" spans="2:31" x14ac:dyDescent="0.3">
      <c r="F47" s="153" t="s">
        <v>94</v>
      </c>
      <c r="G47" s="154"/>
      <c r="H47" s="155"/>
      <c r="L47" s="156" t="s">
        <v>171</v>
      </c>
      <c r="M47" s="157"/>
      <c r="N47" s="158"/>
      <c r="O47" s="159"/>
      <c r="P47" s="159"/>
      <c r="Q47" s="159"/>
      <c r="R47" s="153" t="s">
        <v>172</v>
      </c>
      <c r="S47" s="154"/>
      <c r="T47" s="155"/>
      <c r="U47" s="153" t="s">
        <v>97</v>
      </c>
      <c r="V47" s="154"/>
      <c r="W47" s="155"/>
      <c r="X47" s="36"/>
      <c r="Y47" s="36"/>
      <c r="Z47" s="36"/>
      <c r="AA47" s="36"/>
      <c r="AB47" s="36"/>
      <c r="AC47" s="36"/>
    </row>
    <row r="48" spans="2:31" x14ac:dyDescent="0.3">
      <c r="C48" s="147" t="s">
        <v>132</v>
      </c>
      <c r="D48" s="148"/>
      <c r="E48" s="137"/>
      <c r="F48" s="138">
        <f>AVERAGE(F25:F27,F31,F37:F40:F42:F43)</f>
        <v>-5.7272727272727281E-2</v>
      </c>
      <c r="G48" s="139">
        <f>_xlfn.STDEV.S(F25:F27,F31,F37:F40:F42:F43)</f>
        <v>0.10364274302534733</v>
      </c>
      <c r="H48" s="140">
        <f>COUNT(F25:F27,F31,F37:F40:F42:F43)</f>
        <v>11</v>
      </c>
      <c r="I48" s="134"/>
      <c r="J48" s="134"/>
      <c r="K48" s="134"/>
      <c r="L48" s="138">
        <f>AVERAGE(L25:L39,I25:I36,O28:O30)</f>
        <v>-0.29352941176470582</v>
      </c>
      <c r="M48" s="139">
        <f>_xlfn.STDEV.S(L25:L39,I25:I36,O28:O30)</f>
        <v>0.13651653638252906</v>
      </c>
      <c r="N48" s="140">
        <f>COUNT(L25:L39,I25:I36,O28:O30)</f>
        <v>17</v>
      </c>
      <c r="O48" s="134"/>
      <c r="P48" s="134"/>
      <c r="Q48" s="149"/>
      <c r="R48" s="138">
        <f>AVERAGE(R25:R36)</f>
        <v>-0.67833333333333323</v>
      </c>
      <c r="S48" s="139">
        <f>_xlfn.STDEV.S(R25:R36)</f>
        <v>0.18236410465512901</v>
      </c>
      <c r="T48" s="140">
        <f>COUNT(R25:R36)</f>
        <v>6</v>
      </c>
      <c r="U48" s="138">
        <f>AVERAGE(R48,L48)</f>
        <v>-0.48593137254901952</v>
      </c>
      <c r="V48" s="139">
        <f>SQRT(M48*M48+S48*S48)/2</f>
        <v>0.1139006490022656</v>
      </c>
      <c r="W48" s="140">
        <f>COUNT(U32:U42)</f>
        <v>0</v>
      </c>
    </row>
    <row r="49" spans="3:29" x14ac:dyDescent="0.3"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</row>
    <row r="50" spans="3:29" x14ac:dyDescent="0.3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</row>
    <row r="58" spans="3:29" x14ac:dyDescent="0.3">
      <c r="C58" s="36"/>
    </row>
  </sheetData>
  <mergeCells count="20">
    <mergeCell ref="F19:H19"/>
    <mergeCell ref="L19:N19"/>
    <mergeCell ref="O19:Q19"/>
    <mergeCell ref="R19:T19"/>
    <mergeCell ref="C22:AC22"/>
    <mergeCell ref="F47:H47"/>
    <mergeCell ref="L47:N47"/>
    <mergeCell ref="O47:Q47"/>
    <mergeCell ref="R47:T47"/>
    <mergeCell ref="U47:W47"/>
    <mergeCell ref="C2:AC2"/>
    <mergeCell ref="C3:E3"/>
    <mergeCell ref="F3:H3"/>
    <mergeCell ref="I3:K3"/>
    <mergeCell ref="L3:N3"/>
    <mergeCell ref="O3:Q3"/>
    <mergeCell ref="R3:T3"/>
    <mergeCell ref="U3:W3"/>
    <mergeCell ref="X3:Z3"/>
    <mergeCell ref="AA3:A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7DC1D-18EC-4CD4-8BA9-8F65640DFF28}">
  <dimension ref="A1:K26"/>
  <sheetViews>
    <sheetView zoomScale="70" zoomScaleNormal="70" workbookViewId="0">
      <selection activeCell="O9" sqref="O9"/>
    </sheetView>
  </sheetViews>
  <sheetFormatPr baseColWidth="10" defaultRowHeight="14.4" x14ac:dyDescent="0.3"/>
  <cols>
    <col min="1" max="1" width="14.88671875" customWidth="1"/>
    <col min="2" max="2" width="14.77734375" customWidth="1"/>
    <col min="3" max="3" width="8.33203125" customWidth="1"/>
    <col min="4" max="4" width="13.88671875" customWidth="1"/>
    <col min="5" max="5" width="14.33203125" customWidth="1"/>
    <col min="6" max="6" width="13.109375" customWidth="1"/>
    <col min="7" max="7" width="16" customWidth="1"/>
    <col min="8" max="8" width="15.21875" customWidth="1"/>
  </cols>
  <sheetData>
    <row r="1" spans="1:11" ht="19.2" customHeight="1" x14ac:dyDescent="0.3">
      <c r="A1" s="162" t="s">
        <v>0</v>
      </c>
      <c r="B1" s="162" t="s">
        <v>1</v>
      </c>
      <c r="C1" s="162" t="s">
        <v>2</v>
      </c>
      <c r="D1" s="162" t="s">
        <v>3</v>
      </c>
      <c r="E1" s="4"/>
      <c r="F1" s="59" t="s">
        <v>62</v>
      </c>
      <c r="G1" s="56" t="s">
        <v>63</v>
      </c>
      <c r="H1" s="4"/>
      <c r="I1" s="160"/>
      <c r="J1" s="160"/>
      <c r="K1" s="160"/>
    </row>
    <row r="2" spans="1:11" ht="39" customHeight="1" x14ac:dyDescent="0.3">
      <c r="A2" s="163"/>
      <c r="B2" s="163"/>
      <c r="C2" s="163"/>
      <c r="D2" s="163"/>
      <c r="E2" s="61" t="s">
        <v>4</v>
      </c>
      <c r="F2" s="60" t="s">
        <v>5</v>
      </c>
      <c r="G2" s="61" t="s">
        <v>61</v>
      </c>
      <c r="H2" s="61" t="s">
        <v>4</v>
      </c>
      <c r="I2" s="161"/>
      <c r="J2" s="161"/>
      <c r="K2" s="161"/>
    </row>
    <row r="3" spans="1:11" x14ac:dyDescent="0.3">
      <c r="A3" s="73">
        <v>36770</v>
      </c>
      <c r="B3" s="73">
        <v>37134</v>
      </c>
      <c r="C3" s="62" t="s">
        <v>6</v>
      </c>
      <c r="D3" s="63">
        <v>669.26900000000001</v>
      </c>
      <c r="E3" s="63">
        <v>8.1000000000000003E-2</v>
      </c>
      <c r="F3" s="63">
        <v>1E-4</v>
      </c>
      <c r="G3" s="63">
        <v>2.1999999999999999E-2</v>
      </c>
      <c r="H3" s="63">
        <v>0.27100000000000002</v>
      </c>
      <c r="I3" s="63">
        <v>0.78</v>
      </c>
      <c r="J3" s="63">
        <v>0.23</v>
      </c>
      <c r="K3" s="63">
        <v>-0.02</v>
      </c>
    </row>
    <row r="4" spans="1:11" x14ac:dyDescent="0.3">
      <c r="A4" s="74">
        <v>37135</v>
      </c>
      <c r="B4" s="74">
        <v>37499</v>
      </c>
      <c r="C4" s="64" t="s">
        <v>7</v>
      </c>
      <c r="D4" s="65">
        <v>226.45849999999999</v>
      </c>
      <c r="E4" s="65">
        <v>3.1E-2</v>
      </c>
      <c r="F4" s="65">
        <v>0</v>
      </c>
      <c r="G4" s="65">
        <v>6.0000000000000001E-3</v>
      </c>
      <c r="H4" s="65">
        <v>7.8E-2</v>
      </c>
      <c r="I4" s="65">
        <v>0.23</v>
      </c>
      <c r="J4" s="65">
        <v>0.09</v>
      </c>
      <c r="K4" s="65">
        <v>0.69</v>
      </c>
    </row>
    <row r="5" spans="1:11" x14ac:dyDescent="0.3">
      <c r="A5" s="74">
        <v>37500</v>
      </c>
      <c r="B5" s="74">
        <v>37864</v>
      </c>
      <c r="C5" s="64" t="s">
        <v>8</v>
      </c>
      <c r="D5" s="65">
        <v>430.32400000000001</v>
      </c>
      <c r="E5" s="65">
        <v>5.3999999999999999E-2</v>
      </c>
      <c r="F5" s="65">
        <v>1E-4</v>
      </c>
      <c r="G5" s="65">
        <v>1.4E-2</v>
      </c>
      <c r="H5" s="65">
        <v>0.16700000000000001</v>
      </c>
      <c r="I5" s="65">
        <v>0.48</v>
      </c>
      <c r="J5" s="65">
        <v>0.16</v>
      </c>
      <c r="K5" s="65">
        <v>0.36</v>
      </c>
    </row>
    <row r="6" spans="1:11" x14ac:dyDescent="0.3">
      <c r="A6" s="74">
        <v>37865</v>
      </c>
      <c r="B6" s="74">
        <v>38230</v>
      </c>
      <c r="C6" s="64" t="s">
        <v>9</v>
      </c>
      <c r="D6" s="65">
        <v>245.9907</v>
      </c>
      <c r="E6" s="65">
        <v>3.2000000000000001E-2</v>
      </c>
      <c r="F6" s="65">
        <v>1E-4</v>
      </c>
      <c r="G6" s="65">
        <v>7.0000000000000001E-3</v>
      </c>
      <c r="H6" s="65">
        <v>8.5999999999999993E-2</v>
      </c>
      <c r="I6" s="65">
        <v>0.25</v>
      </c>
      <c r="J6" s="65">
        <v>0.09</v>
      </c>
      <c r="K6" s="65">
        <v>0.66</v>
      </c>
    </row>
    <row r="7" spans="1:11" x14ac:dyDescent="0.3">
      <c r="A7" s="74">
        <v>38231</v>
      </c>
      <c r="B7" s="74">
        <v>38595</v>
      </c>
      <c r="C7" s="64" t="s">
        <v>10</v>
      </c>
      <c r="D7" s="65">
        <v>113.56189999999999</v>
      </c>
      <c r="E7" s="65">
        <v>1.6E-2</v>
      </c>
      <c r="F7" s="65">
        <v>0</v>
      </c>
      <c r="G7" s="65">
        <v>2E-3</v>
      </c>
      <c r="H7" s="65">
        <v>2.9000000000000001E-2</v>
      </c>
      <c r="I7" s="65">
        <v>0.08</v>
      </c>
      <c r="J7" s="65">
        <v>0.05</v>
      </c>
      <c r="K7" s="65">
        <v>0.87</v>
      </c>
    </row>
    <row r="8" spans="1:11" x14ac:dyDescent="0.3">
      <c r="A8" s="74">
        <v>38596</v>
      </c>
      <c r="B8" s="74">
        <v>38960</v>
      </c>
      <c r="C8" s="64" t="s">
        <v>11</v>
      </c>
      <c r="D8" s="65">
        <v>169.14359999999999</v>
      </c>
      <c r="E8" s="65">
        <v>2.3E-2</v>
      </c>
      <c r="F8" s="65">
        <v>0</v>
      </c>
      <c r="G8" s="65">
        <v>4.0000000000000001E-3</v>
      </c>
      <c r="H8" s="65">
        <v>5.2999999999999999E-2</v>
      </c>
      <c r="I8" s="65">
        <v>0.15</v>
      </c>
      <c r="J8" s="65">
        <v>7.0000000000000007E-2</v>
      </c>
      <c r="K8" s="65">
        <v>0.78</v>
      </c>
    </row>
    <row r="9" spans="1:11" x14ac:dyDescent="0.3">
      <c r="A9" s="74">
        <v>38961</v>
      </c>
      <c r="B9" s="74">
        <v>39325</v>
      </c>
      <c r="C9" s="64" t="s">
        <v>12</v>
      </c>
      <c r="D9" s="65">
        <v>449.791</v>
      </c>
      <c r="E9" s="65">
        <v>5.7000000000000002E-2</v>
      </c>
      <c r="F9" s="65">
        <v>1E-4</v>
      </c>
      <c r="G9" s="65">
        <v>1.4E-2</v>
      </c>
      <c r="H9" s="65">
        <v>0.17499999999999999</v>
      </c>
      <c r="I9" s="65">
        <v>0.51</v>
      </c>
      <c r="J9" s="65">
        <v>0.16</v>
      </c>
      <c r="K9" s="65">
        <v>0.33</v>
      </c>
    </row>
    <row r="10" spans="1:11" x14ac:dyDescent="0.3">
      <c r="A10" s="74">
        <v>39326</v>
      </c>
      <c r="B10" s="74">
        <v>39691</v>
      </c>
      <c r="C10" s="64" t="s">
        <v>13</v>
      </c>
      <c r="D10" s="65">
        <v>317.60829999999999</v>
      </c>
      <c r="E10" s="65">
        <v>4.1000000000000002E-2</v>
      </c>
      <c r="F10" s="65">
        <v>1E-4</v>
      </c>
      <c r="G10" s="65">
        <v>0.01</v>
      </c>
      <c r="H10" s="65">
        <v>0.11700000000000001</v>
      </c>
      <c r="I10" s="65">
        <v>0.34</v>
      </c>
      <c r="J10" s="65">
        <v>0.12</v>
      </c>
      <c r="K10" s="65">
        <v>0.54</v>
      </c>
    </row>
    <row r="11" spans="1:11" x14ac:dyDescent="0.3">
      <c r="A11" s="74">
        <v>39692</v>
      </c>
      <c r="B11" s="74">
        <v>40056</v>
      </c>
      <c r="C11" s="64" t="s">
        <v>14</v>
      </c>
      <c r="D11" s="65">
        <v>280.76819999999998</v>
      </c>
      <c r="E11" s="65">
        <v>3.6999999999999998E-2</v>
      </c>
      <c r="F11" s="65">
        <v>1E-4</v>
      </c>
      <c r="G11" s="65">
        <v>8.0000000000000002E-3</v>
      </c>
      <c r="H11" s="65">
        <v>0.10100000000000001</v>
      </c>
      <c r="I11" s="65">
        <v>0.28999999999999998</v>
      </c>
      <c r="J11" s="65">
        <v>0.11</v>
      </c>
      <c r="K11" s="65">
        <v>0.6</v>
      </c>
    </row>
    <row r="12" spans="1:11" x14ac:dyDescent="0.3">
      <c r="A12" s="74">
        <v>40057</v>
      </c>
      <c r="B12" s="74">
        <v>40421</v>
      </c>
      <c r="C12" s="64" t="s">
        <v>15</v>
      </c>
      <c r="D12" s="65">
        <v>413.10480000000001</v>
      </c>
      <c r="E12" s="65">
        <v>5.1999999999999998E-2</v>
      </c>
      <c r="F12" s="65">
        <v>1E-4</v>
      </c>
      <c r="G12" s="65">
        <v>1.2999999999999999E-2</v>
      </c>
      <c r="H12" s="65">
        <v>0.159</v>
      </c>
      <c r="I12" s="65">
        <v>0.46</v>
      </c>
      <c r="J12" s="65">
        <v>0.15</v>
      </c>
      <c r="K12" s="65">
        <v>0.39</v>
      </c>
    </row>
    <row r="13" spans="1:11" x14ac:dyDescent="0.3">
      <c r="A13" s="74">
        <v>40422</v>
      </c>
      <c r="B13" s="74">
        <v>40786</v>
      </c>
      <c r="C13" s="64" t="s">
        <v>16</v>
      </c>
      <c r="D13" s="65">
        <v>220.58109999999999</v>
      </c>
      <c r="E13" s="65">
        <v>2.9000000000000001E-2</v>
      </c>
      <c r="F13" s="65">
        <v>0</v>
      </c>
      <c r="G13" s="65">
        <v>6.0000000000000001E-3</v>
      </c>
      <c r="H13" s="65">
        <v>7.4999999999999997E-2</v>
      </c>
      <c r="I13" s="65">
        <v>0.22</v>
      </c>
      <c r="J13" s="65">
        <v>0.08</v>
      </c>
      <c r="K13" s="65">
        <v>0.7</v>
      </c>
    </row>
    <row r="14" spans="1:11" x14ac:dyDescent="0.3">
      <c r="A14" s="74">
        <v>40787</v>
      </c>
      <c r="B14" s="74">
        <v>41152</v>
      </c>
      <c r="C14" s="64" t="s">
        <v>17</v>
      </c>
      <c r="D14" s="65">
        <v>138.744</v>
      </c>
      <c r="E14" s="65">
        <v>1.9E-2</v>
      </c>
      <c r="F14" s="65">
        <v>0</v>
      </c>
      <c r="G14" s="65">
        <v>3.0000000000000001E-3</v>
      </c>
      <c r="H14" s="65">
        <v>0.04</v>
      </c>
      <c r="I14" s="65">
        <v>0.11</v>
      </c>
      <c r="J14" s="65">
        <v>0.06</v>
      </c>
      <c r="K14" s="65">
        <v>0.83</v>
      </c>
    </row>
    <row r="15" spans="1:11" x14ac:dyDescent="0.3">
      <c r="A15" s="74">
        <v>41153</v>
      </c>
      <c r="B15" s="74">
        <v>41517</v>
      </c>
      <c r="C15" s="64" t="s">
        <v>18</v>
      </c>
      <c r="D15" s="65">
        <v>493.39120000000003</v>
      </c>
      <c r="E15" s="65">
        <v>6.2E-2</v>
      </c>
      <c r="F15" s="65">
        <v>1E-4</v>
      </c>
      <c r="G15" s="65">
        <v>1.6E-2</v>
      </c>
      <c r="H15" s="65">
        <v>0.19400000000000001</v>
      </c>
      <c r="I15" s="65">
        <v>0.56000000000000005</v>
      </c>
      <c r="J15" s="65">
        <v>0.18</v>
      </c>
      <c r="K15" s="65">
        <v>0.26</v>
      </c>
    </row>
    <row r="16" spans="1:11" x14ac:dyDescent="0.3">
      <c r="A16" s="74">
        <v>41518</v>
      </c>
      <c r="B16" s="74">
        <v>41882</v>
      </c>
      <c r="C16" s="64" t="s">
        <v>19</v>
      </c>
      <c r="D16" s="65">
        <v>584.30730000000005</v>
      </c>
      <c r="E16" s="65">
        <v>7.0000000000000007E-2</v>
      </c>
      <c r="F16" s="65">
        <v>1E-4</v>
      </c>
      <c r="G16" s="65">
        <v>1.9E-2</v>
      </c>
      <c r="H16" s="65">
        <v>0.23400000000000001</v>
      </c>
      <c r="I16" s="65">
        <v>0.68</v>
      </c>
      <c r="J16" s="65">
        <v>0.2</v>
      </c>
      <c r="K16" s="65">
        <v>0.12</v>
      </c>
    </row>
    <row r="17" spans="1:11" x14ac:dyDescent="0.3">
      <c r="A17" s="74">
        <v>41883</v>
      </c>
      <c r="B17" s="74">
        <v>42247</v>
      </c>
      <c r="C17" s="64" t="s">
        <v>20</v>
      </c>
      <c r="D17" s="65">
        <v>326.03750000000002</v>
      </c>
      <c r="E17" s="65">
        <v>4.2000000000000003E-2</v>
      </c>
      <c r="F17" s="65">
        <v>0</v>
      </c>
      <c r="G17" s="65">
        <v>0.01</v>
      </c>
      <c r="H17" s="65">
        <v>0.121</v>
      </c>
      <c r="I17" s="65">
        <v>0.35</v>
      </c>
      <c r="J17" s="65">
        <v>0.12</v>
      </c>
      <c r="K17" s="65">
        <v>0.53</v>
      </c>
    </row>
    <row r="18" spans="1:11" x14ac:dyDescent="0.3">
      <c r="A18" s="74">
        <v>42248</v>
      </c>
      <c r="B18" s="74">
        <v>42613</v>
      </c>
      <c r="C18" s="64" t="s">
        <v>21</v>
      </c>
      <c r="D18" s="65">
        <v>324.57909999999998</v>
      </c>
      <c r="E18" s="65">
        <v>4.2000000000000003E-2</v>
      </c>
      <c r="F18" s="65">
        <v>1E-4</v>
      </c>
      <c r="G18" s="65">
        <v>0.01</v>
      </c>
      <c r="H18" s="65">
        <v>0.121</v>
      </c>
      <c r="I18" s="65">
        <v>0.35</v>
      </c>
      <c r="J18" s="65">
        <v>0.12</v>
      </c>
      <c r="K18" s="65">
        <v>0.53</v>
      </c>
    </row>
    <row r="19" spans="1:11" x14ac:dyDescent="0.3">
      <c r="A19" s="74">
        <v>42614</v>
      </c>
      <c r="B19" s="74">
        <v>42978</v>
      </c>
      <c r="C19" s="64" t="s">
        <v>22</v>
      </c>
      <c r="D19" s="65">
        <v>88.767799999999994</v>
      </c>
      <c r="E19" s="65">
        <v>1.2999999999999999E-2</v>
      </c>
      <c r="F19" s="65">
        <v>0</v>
      </c>
      <c r="G19" s="65">
        <v>1E-3</v>
      </c>
      <c r="H19" s="65">
        <v>1.7999999999999999E-2</v>
      </c>
      <c r="I19" s="65">
        <v>0.05</v>
      </c>
      <c r="J19" s="65">
        <v>0.04</v>
      </c>
      <c r="K19" s="65">
        <v>0.91</v>
      </c>
    </row>
    <row r="20" spans="1:11" x14ac:dyDescent="0.3">
      <c r="A20" s="74">
        <v>42979</v>
      </c>
      <c r="B20" s="74">
        <v>43343</v>
      </c>
      <c r="C20" s="64" t="s">
        <v>23</v>
      </c>
      <c r="D20" s="65">
        <v>240.8955</v>
      </c>
      <c r="E20" s="65">
        <v>3.2000000000000001E-2</v>
      </c>
      <c r="F20" s="65">
        <v>0</v>
      </c>
      <c r="G20" s="65">
        <v>7.0000000000000001E-3</v>
      </c>
      <c r="H20" s="65">
        <v>8.4000000000000005E-2</v>
      </c>
      <c r="I20" s="65">
        <v>0.24</v>
      </c>
      <c r="J20" s="65">
        <v>0.09</v>
      </c>
      <c r="K20" s="65">
        <v>0.66</v>
      </c>
    </row>
    <row r="21" spans="1:11" x14ac:dyDescent="0.3">
      <c r="A21" s="74">
        <v>43344</v>
      </c>
      <c r="B21" s="74">
        <v>43708</v>
      </c>
      <c r="C21" s="64" t="s">
        <v>24</v>
      </c>
      <c r="D21" s="65">
        <v>226.9195</v>
      </c>
      <c r="E21" s="65">
        <v>3.1E-2</v>
      </c>
      <c r="F21" s="65">
        <v>0</v>
      </c>
      <c r="G21" s="65">
        <v>6.0000000000000001E-3</v>
      </c>
      <c r="H21" s="65">
        <v>7.8E-2</v>
      </c>
      <c r="I21" s="65">
        <v>0.23</v>
      </c>
      <c r="J21" s="65">
        <v>0.09</v>
      </c>
      <c r="K21" s="65">
        <v>0.69</v>
      </c>
    </row>
    <row r="22" spans="1:11" x14ac:dyDescent="0.3">
      <c r="A22" s="74">
        <v>43709</v>
      </c>
      <c r="B22" s="74">
        <v>44074</v>
      </c>
      <c r="C22" s="64" t="s">
        <v>25</v>
      </c>
      <c r="D22" s="65">
        <v>656.02779999999996</v>
      </c>
      <c r="E22" s="65">
        <v>0.08</v>
      </c>
      <c r="F22" s="65">
        <v>1E-4</v>
      </c>
      <c r="G22" s="65">
        <v>2.1999999999999999E-2</v>
      </c>
      <c r="H22" s="65">
        <v>0.26500000000000001</v>
      </c>
      <c r="I22" s="65">
        <v>0.77</v>
      </c>
      <c r="J22" s="65">
        <v>0.23</v>
      </c>
      <c r="K22" s="65">
        <v>0</v>
      </c>
    </row>
    <row r="23" spans="1:11" x14ac:dyDescent="0.3">
      <c r="A23" s="74">
        <v>44075</v>
      </c>
      <c r="B23" s="74">
        <v>44439</v>
      </c>
      <c r="C23" s="64" t="s">
        <v>26</v>
      </c>
      <c r="D23" s="65">
        <v>437.72640000000001</v>
      </c>
      <c r="E23" s="65">
        <v>5.6000000000000001E-2</v>
      </c>
      <c r="F23" s="65">
        <v>1E-4</v>
      </c>
      <c r="G23" s="65">
        <v>1.4E-2</v>
      </c>
      <c r="H23" s="65">
        <v>0.17</v>
      </c>
      <c r="I23" s="65">
        <v>0.49</v>
      </c>
      <c r="J23" s="65">
        <v>0.16</v>
      </c>
      <c r="K23" s="65">
        <v>0.35</v>
      </c>
    </row>
    <row r="24" spans="1:11" x14ac:dyDescent="0.3">
      <c r="A24" s="75">
        <v>44440</v>
      </c>
      <c r="B24" s="75">
        <v>44804</v>
      </c>
      <c r="C24" s="66" t="s">
        <v>27</v>
      </c>
      <c r="D24" s="67">
        <v>187.16540000000001</v>
      </c>
      <c r="E24" s="67">
        <v>2.5999999999999999E-2</v>
      </c>
      <c r="F24" s="67">
        <v>0</v>
      </c>
      <c r="G24" s="67">
        <v>5.0000000000000001E-3</v>
      </c>
      <c r="H24" s="67">
        <v>6.0999999999999999E-2</v>
      </c>
      <c r="I24" s="67">
        <v>0.18</v>
      </c>
      <c r="J24" s="67">
        <v>7.0000000000000007E-2</v>
      </c>
      <c r="K24" s="67">
        <v>0.75</v>
      </c>
    </row>
    <row r="25" spans="1:11" x14ac:dyDescent="0.3">
      <c r="A25" s="68" t="s">
        <v>28</v>
      </c>
      <c r="B25" s="57"/>
      <c r="C25" s="57"/>
      <c r="D25" s="57"/>
      <c r="E25" s="69">
        <v>4.2000000000000003E-2</v>
      </c>
      <c r="F25" s="57"/>
      <c r="G25" s="69">
        <v>0.01</v>
      </c>
      <c r="H25" s="69">
        <v>0.12</v>
      </c>
      <c r="I25" s="69">
        <v>0.36</v>
      </c>
      <c r="J25" s="69">
        <v>0.12</v>
      </c>
      <c r="K25" s="69">
        <v>0.52</v>
      </c>
    </row>
    <row r="26" spans="1:11" x14ac:dyDescent="0.3">
      <c r="A26" s="70" t="s">
        <v>29</v>
      </c>
      <c r="B26" s="58"/>
      <c r="C26" s="58"/>
      <c r="D26" s="58"/>
      <c r="E26" s="71">
        <v>0.02</v>
      </c>
      <c r="F26" s="58"/>
      <c r="G26" s="71">
        <v>6.0000000000000001E-3</v>
      </c>
      <c r="H26" s="71">
        <v>7.0000000000000007E-2</v>
      </c>
      <c r="I26" s="71">
        <v>0.21</v>
      </c>
      <c r="J26" s="71">
        <v>0.06</v>
      </c>
      <c r="K26" s="72">
        <v>0.26929999999999998</v>
      </c>
    </row>
  </sheetData>
  <mergeCells count="7">
    <mergeCell ref="I1:I2"/>
    <mergeCell ref="J1:J2"/>
    <mergeCell ref="K1:K2"/>
    <mergeCell ref="A1:A2"/>
    <mergeCell ref="B1:B2"/>
    <mergeCell ref="C1:C2"/>
    <mergeCell ref="D1:D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5366E-4019-43C9-A7F7-22CF9C05930F}">
  <dimension ref="A1:AN70"/>
  <sheetViews>
    <sheetView zoomScale="70" zoomScaleNormal="70" workbookViewId="0">
      <selection activeCell="U21" sqref="U21"/>
    </sheetView>
  </sheetViews>
  <sheetFormatPr baseColWidth="10" defaultRowHeight="14.4" x14ac:dyDescent="0.3"/>
  <cols>
    <col min="1" max="1" width="7.5546875" customWidth="1"/>
    <col min="2" max="2" width="15.44140625" customWidth="1"/>
    <col min="3" max="3" width="9.109375" style="37" customWidth="1"/>
    <col min="4" max="4" width="19" customWidth="1"/>
    <col min="5" max="5" width="10.88671875" customWidth="1"/>
    <col min="6" max="6" width="9.33203125" customWidth="1"/>
    <col min="7" max="7" width="22.21875" customWidth="1"/>
    <col min="8" max="8" width="13.88671875" style="37" customWidth="1"/>
    <col min="9" max="9" width="28.33203125" customWidth="1"/>
    <col min="10" max="10" width="11.21875" style="37" customWidth="1"/>
    <col min="11" max="11" width="11.21875" customWidth="1"/>
    <col min="12" max="12" width="10.6640625" customWidth="1"/>
    <col min="13" max="13" width="11.21875" customWidth="1"/>
    <col min="14" max="14" width="15.21875" customWidth="1"/>
    <col min="15" max="15" width="8.77734375" customWidth="1"/>
    <col min="16" max="16" width="8.6640625" customWidth="1"/>
    <col min="17" max="17" width="15.33203125" customWidth="1"/>
    <col min="18" max="18" width="8.5546875" customWidth="1"/>
    <col min="20" max="20" width="8.6640625" customWidth="1"/>
    <col min="21" max="21" width="12.88671875" customWidth="1"/>
    <col min="24" max="24" width="7" customWidth="1"/>
    <col min="26" max="26" width="5.109375" customWidth="1"/>
  </cols>
  <sheetData>
    <row r="1" spans="1:19" ht="19.8" customHeight="1" x14ac:dyDescent="0.3">
      <c r="A1" s="4"/>
      <c r="B1" s="4"/>
      <c r="C1" s="164" t="s">
        <v>64</v>
      </c>
      <c r="D1" s="165"/>
      <c r="E1" s="165"/>
      <c r="F1" s="165"/>
      <c r="G1" s="165"/>
      <c r="H1" s="164" t="s">
        <v>59</v>
      </c>
      <c r="I1" s="166"/>
      <c r="J1" s="5"/>
      <c r="K1" s="4"/>
      <c r="L1" s="4"/>
      <c r="M1" s="4"/>
      <c r="N1" s="4"/>
      <c r="O1" s="4"/>
      <c r="P1" s="4"/>
      <c r="Q1" s="4"/>
      <c r="R1" s="4"/>
      <c r="S1" s="4"/>
    </row>
    <row r="2" spans="1:19" s="28" customFormat="1" ht="28.8" customHeight="1" x14ac:dyDescent="0.35">
      <c r="A2" s="52" t="s">
        <v>30</v>
      </c>
      <c r="B2" s="51" t="s">
        <v>60</v>
      </c>
      <c r="C2" s="39" t="s">
        <v>34</v>
      </c>
      <c r="D2" s="50" t="s">
        <v>35</v>
      </c>
      <c r="E2" s="50" t="s">
        <v>38</v>
      </c>
      <c r="F2" s="50" t="s">
        <v>33</v>
      </c>
      <c r="G2" s="50" t="s">
        <v>37</v>
      </c>
      <c r="H2" s="39" t="s">
        <v>32</v>
      </c>
      <c r="I2" s="50" t="s">
        <v>36</v>
      </c>
      <c r="J2" s="6" t="s">
        <v>80</v>
      </c>
      <c r="K2" s="7" t="s">
        <v>79</v>
      </c>
      <c r="L2" s="7" t="s">
        <v>78</v>
      </c>
      <c r="M2" s="7" t="s">
        <v>39</v>
      </c>
      <c r="N2" s="7" t="s">
        <v>40</v>
      </c>
      <c r="O2" s="27" t="s">
        <v>41</v>
      </c>
      <c r="P2" s="7" t="s">
        <v>42</v>
      </c>
      <c r="Q2" s="7" t="s">
        <v>43</v>
      </c>
      <c r="R2" s="7"/>
      <c r="S2" s="7"/>
    </row>
    <row r="3" spans="1:19" x14ac:dyDescent="0.3">
      <c r="A3" s="4"/>
      <c r="B3" s="43" t="s">
        <v>58</v>
      </c>
      <c r="C3" s="8">
        <v>62.6</v>
      </c>
      <c r="D3" s="9">
        <v>12.93</v>
      </c>
      <c r="E3" s="9">
        <v>11.05</v>
      </c>
      <c r="F3" s="9"/>
      <c r="G3" s="9">
        <v>13.4</v>
      </c>
      <c r="H3" s="8"/>
      <c r="I3" s="9"/>
      <c r="J3" s="8">
        <v>0.73601436793469999</v>
      </c>
      <c r="K3" s="10">
        <f>82.2155868064399</f>
        <v>82.215586806439902</v>
      </c>
      <c r="L3" s="9">
        <f t="shared" ref="L3:L11" si="0">K3-C3</f>
        <v>19.6155868064399</v>
      </c>
      <c r="M3" s="9">
        <f>(100*L3)/(100-C3)</f>
        <v>52.448093065347329</v>
      </c>
      <c r="N3" s="9">
        <f t="shared" ref="N3:N11" si="1">J3/(100-C3)*100</f>
        <v>1.9679528554403742</v>
      </c>
      <c r="O3" s="11"/>
      <c r="P3" s="4"/>
      <c r="Q3" s="4"/>
      <c r="R3" s="4"/>
      <c r="S3" s="4"/>
    </row>
    <row r="4" spans="1:19" x14ac:dyDescent="0.3">
      <c r="A4" s="4">
        <v>5</v>
      </c>
      <c r="B4" s="43" t="s">
        <v>50</v>
      </c>
      <c r="C4" s="8">
        <v>65.970410000000001</v>
      </c>
      <c r="D4" s="9">
        <v>24.166277000000001</v>
      </c>
      <c r="E4" s="9">
        <v>5.903778</v>
      </c>
      <c r="F4" s="9"/>
      <c r="G4" s="9"/>
      <c r="H4" s="8">
        <v>3.667888</v>
      </c>
      <c r="I4" s="9"/>
      <c r="J4" s="8">
        <v>0.83267625087437946</v>
      </c>
      <c r="K4" s="10">
        <v>70.438052994961069</v>
      </c>
      <c r="L4" s="9">
        <f t="shared" si="0"/>
        <v>4.4676429949610679</v>
      </c>
      <c r="M4" s="9">
        <f t="shared" ref="M4:M11" si="2">L4/(100-C4)*100</f>
        <v>13.128700624841699</v>
      </c>
      <c r="N4" s="9">
        <f t="shared" si="1"/>
        <v>2.4469182581229441</v>
      </c>
      <c r="O4" s="11">
        <v>71800</v>
      </c>
      <c r="P4" s="10">
        <f>O4*2.53/100</f>
        <v>1816.54</v>
      </c>
      <c r="Q4" s="12">
        <f>P4/10000</f>
        <v>0.18165400000000001</v>
      </c>
      <c r="R4" s="4"/>
      <c r="S4" s="4"/>
    </row>
    <row r="5" spans="1:19" x14ac:dyDescent="0.3">
      <c r="A5" s="4">
        <v>25</v>
      </c>
      <c r="B5" s="43" t="s">
        <v>51</v>
      </c>
      <c r="C5" s="8">
        <v>63.827213</v>
      </c>
      <c r="D5" s="9">
        <v>24.706692</v>
      </c>
      <c r="E5" s="9"/>
      <c r="F5" s="9"/>
      <c r="G5" s="9"/>
      <c r="H5" s="8">
        <v>3.9191093000000001</v>
      </c>
      <c r="I5" s="9">
        <v>3.4286553999999998</v>
      </c>
      <c r="J5" s="8">
        <v>0.81406596237000894</v>
      </c>
      <c r="K5" s="10">
        <v>75.194190182494665</v>
      </c>
      <c r="L5" s="9">
        <f t="shared" si="0"/>
        <v>11.366977182494665</v>
      </c>
      <c r="M5" s="9">
        <f t="shared" si="2"/>
        <v>31.424112226947472</v>
      </c>
      <c r="N5" s="9">
        <f t="shared" si="1"/>
        <v>2.2504927872160057</v>
      </c>
      <c r="O5" s="11"/>
      <c r="P5" s="10"/>
      <c r="Q5" s="12"/>
      <c r="R5" s="4"/>
      <c r="S5" s="4"/>
    </row>
    <row r="6" spans="1:19" x14ac:dyDescent="0.3">
      <c r="A6" s="4">
        <v>35</v>
      </c>
      <c r="B6" s="43" t="s">
        <v>52</v>
      </c>
      <c r="C6" s="8">
        <v>51.346493000000002</v>
      </c>
      <c r="D6" s="9">
        <v>34.783833000000001</v>
      </c>
      <c r="E6" s="9"/>
      <c r="F6" s="9"/>
      <c r="G6" s="9"/>
      <c r="H6" s="8">
        <v>7.329663</v>
      </c>
      <c r="I6" s="9"/>
      <c r="J6" s="8">
        <v>0.87712538586717548</v>
      </c>
      <c r="K6" s="10">
        <v>82.3974307252263</v>
      </c>
      <c r="L6" s="9">
        <f t="shared" si="0"/>
        <v>31.050937725226298</v>
      </c>
      <c r="M6" s="9">
        <f t="shared" si="2"/>
        <v>63.820554035757993</v>
      </c>
      <c r="N6" s="9">
        <f t="shared" si="1"/>
        <v>1.8027999212208392</v>
      </c>
      <c r="O6" s="11"/>
      <c r="P6" s="10"/>
      <c r="Q6" s="12"/>
      <c r="R6" s="4"/>
      <c r="S6" s="4"/>
    </row>
    <row r="7" spans="1:19" x14ac:dyDescent="0.3">
      <c r="A7" s="4">
        <v>65</v>
      </c>
      <c r="B7" s="43" t="s">
        <v>53</v>
      </c>
      <c r="C7" s="8">
        <v>54.625920000000001</v>
      </c>
      <c r="D7" s="9">
        <v>31.863188000000001</v>
      </c>
      <c r="E7" s="9">
        <v>3.4875128000000002</v>
      </c>
      <c r="F7" s="9"/>
      <c r="G7" s="9"/>
      <c r="H7" s="8">
        <v>5.1729079999999996</v>
      </c>
      <c r="I7" s="9"/>
      <c r="J7" s="8">
        <v>0.78223333333333345</v>
      </c>
      <c r="K7" s="10">
        <v>71.011768368711842</v>
      </c>
      <c r="L7" s="9">
        <f t="shared" si="0"/>
        <v>16.385848368711841</v>
      </c>
      <c r="M7" s="9">
        <f t="shared" si="2"/>
        <v>36.112794724899857</v>
      </c>
      <c r="N7" s="9">
        <f t="shared" si="1"/>
        <v>1.7239651654277803</v>
      </c>
      <c r="O7" s="11"/>
      <c r="P7" s="10"/>
      <c r="Q7" s="12"/>
      <c r="R7" s="4"/>
      <c r="S7" s="4"/>
    </row>
    <row r="8" spans="1:19" x14ac:dyDescent="0.3">
      <c r="A8" s="4">
        <v>5</v>
      </c>
      <c r="B8" s="43" t="s">
        <v>54</v>
      </c>
      <c r="C8" s="8">
        <v>67.107833999999997</v>
      </c>
      <c r="D8" s="9">
        <v>21.467196999999999</v>
      </c>
      <c r="E8" s="9">
        <v>7.4933833999999999</v>
      </c>
      <c r="F8" s="9"/>
      <c r="G8" s="9"/>
      <c r="H8" s="8">
        <v>3.0048094000000001</v>
      </c>
      <c r="I8" s="9"/>
      <c r="J8" s="8">
        <v>0.97314412118395721</v>
      </c>
      <c r="K8" s="10">
        <v>79.034700467106262</v>
      </c>
      <c r="L8" s="9">
        <f t="shared" si="0"/>
        <v>11.926866467106265</v>
      </c>
      <c r="M8" s="9">
        <f t="shared" si="2"/>
        <v>36.260507949237102</v>
      </c>
      <c r="N8" s="9">
        <f t="shared" si="1"/>
        <v>2.9585893528080733</v>
      </c>
      <c r="O8" s="11">
        <v>41033</v>
      </c>
      <c r="P8" s="10">
        <f>O8*2.53/100</f>
        <v>1038.1349</v>
      </c>
      <c r="Q8" s="12">
        <f>P8/10000</f>
        <v>0.10381349000000001</v>
      </c>
      <c r="R8" s="4"/>
      <c r="S8" s="4"/>
    </row>
    <row r="9" spans="1:19" x14ac:dyDescent="0.3">
      <c r="A9" s="4">
        <v>45</v>
      </c>
      <c r="B9" s="43" t="s">
        <v>55</v>
      </c>
      <c r="C9" s="8">
        <v>72.899770000000004</v>
      </c>
      <c r="D9" s="9">
        <v>19.054613</v>
      </c>
      <c r="E9" s="9">
        <v>4.0087859999999997</v>
      </c>
      <c r="F9" s="9"/>
      <c r="G9" s="9"/>
      <c r="H9" s="8">
        <v>3.766413</v>
      </c>
      <c r="I9" s="9">
        <v>0.27041789999999999</v>
      </c>
      <c r="J9" s="8">
        <v>0.95436219919783771</v>
      </c>
      <c r="K9" s="10">
        <v>79.199474565021518</v>
      </c>
      <c r="L9" s="9">
        <f t="shared" si="0"/>
        <v>6.2997045650215142</v>
      </c>
      <c r="M9" s="9">
        <f t="shared" si="2"/>
        <v>23.2459450160442</v>
      </c>
      <c r="N9" s="9">
        <f t="shared" si="1"/>
        <v>3.5216018432236105</v>
      </c>
      <c r="O9" s="11"/>
      <c r="P9" s="4"/>
      <c r="Q9" s="4"/>
      <c r="R9" s="4"/>
      <c r="S9" s="4"/>
    </row>
    <row r="10" spans="1:19" x14ac:dyDescent="0.3">
      <c r="A10" s="4">
        <v>65</v>
      </c>
      <c r="B10" s="43" t="s">
        <v>56</v>
      </c>
      <c r="C10" s="8">
        <v>62.189132999999998</v>
      </c>
      <c r="D10" s="9">
        <v>21.705452000000001</v>
      </c>
      <c r="E10" s="9">
        <v>4.2602786999999998</v>
      </c>
      <c r="F10" s="9">
        <v>5.6029252999999999</v>
      </c>
      <c r="G10" s="9"/>
      <c r="H10" s="8">
        <v>5.5561767</v>
      </c>
      <c r="I10" s="9">
        <v>0.42340842000000001</v>
      </c>
      <c r="J10" s="8">
        <v>0.95377291144158305</v>
      </c>
      <c r="K10" s="10">
        <v>79.298680354789852</v>
      </c>
      <c r="L10" s="9">
        <f t="shared" si="0"/>
        <v>17.109547354789854</v>
      </c>
      <c r="M10" s="9">
        <f t="shared" si="2"/>
        <v>45.250343915123267</v>
      </c>
      <c r="N10" s="9">
        <f t="shared" si="1"/>
        <v>2.5224835797644709</v>
      </c>
      <c r="O10" s="11"/>
      <c r="P10" s="4"/>
      <c r="Q10" s="4"/>
      <c r="R10" s="4"/>
      <c r="S10" s="4"/>
    </row>
    <row r="11" spans="1:19" s="30" customFormat="1" x14ac:dyDescent="0.3">
      <c r="A11" s="13">
        <v>85</v>
      </c>
      <c r="B11" s="44" t="s">
        <v>57</v>
      </c>
      <c r="C11" s="14">
        <v>71.079679999999996</v>
      </c>
      <c r="D11" s="15">
        <v>20.965767</v>
      </c>
      <c r="E11" s="15">
        <v>4.442679</v>
      </c>
      <c r="F11" s="15"/>
      <c r="G11" s="15"/>
      <c r="H11" s="14">
        <v>2.9962491999999998</v>
      </c>
      <c r="I11" s="15">
        <v>0.11309938</v>
      </c>
      <c r="J11" s="14">
        <v>0.9858351886319151</v>
      </c>
      <c r="K11" s="16">
        <v>81.404289586320573</v>
      </c>
      <c r="L11" s="15">
        <f t="shared" si="0"/>
        <v>10.324609586320577</v>
      </c>
      <c r="M11" s="15">
        <f t="shared" si="2"/>
        <v>35.700191375201157</v>
      </c>
      <c r="N11" s="15">
        <f t="shared" si="1"/>
        <v>3.408797650343824</v>
      </c>
      <c r="O11" s="29"/>
      <c r="P11" s="13"/>
      <c r="Q11" s="13"/>
      <c r="R11" s="13"/>
      <c r="S11" s="13"/>
    </row>
    <row r="12" spans="1:19" ht="16.2" x14ac:dyDescent="0.35">
      <c r="A12" s="4"/>
      <c r="B12" s="43" t="s">
        <v>65</v>
      </c>
      <c r="C12" s="5" t="s">
        <v>70</v>
      </c>
      <c r="D12" s="4" t="s">
        <v>71</v>
      </c>
      <c r="E12" s="4" t="s">
        <v>72</v>
      </c>
      <c r="F12" s="4" t="s">
        <v>73</v>
      </c>
      <c r="G12" s="31" t="s">
        <v>69</v>
      </c>
      <c r="H12" s="5" t="s">
        <v>74</v>
      </c>
      <c r="I12" s="4" t="s">
        <v>75</v>
      </c>
      <c r="J12" s="5" t="s">
        <v>89</v>
      </c>
      <c r="K12" s="4" t="s">
        <v>70</v>
      </c>
      <c r="L12" s="4"/>
      <c r="M12" s="4"/>
      <c r="N12" s="4"/>
      <c r="O12" s="4"/>
      <c r="P12" s="4"/>
      <c r="Q12" s="4"/>
      <c r="R12" s="4"/>
      <c r="S12" s="4"/>
    </row>
    <row r="13" spans="1:19" x14ac:dyDescent="0.3">
      <c r="A13" s="4"/>
      <c r="B13" s="43" t="s">
        <v>44</v>
      </c>
      <c r="C13" s="23">
        <v>1</v>
      </c>
      <c r="D13" s="24">
        <v>3</v>
      </c>
      <c r="E13" s="24">
        <v>3</v>
      </c>
      <c r="F13" s="24">
        <v>3</v>
      </c>
      <c r="G13" s="24">
        <v>3</v>
      </c>
      <c r="H13" s="23">
        <v>2</v>
      </c>
      <c r="I13" s="24">
        <v>2</v>
      </c>
      <c r="J13" s="5">
        <v>1</v>
      </c>
      <c r="K13" s="4">
        <v>1</v>
      </c>
      <c r="L13" s="4"/>
      <c r="M13" s="4"/>
      <c r="N13" s="4"/>
      <c r="O13" s="11"/>
      <c r="P13" s="11"/>
      <c r="Q13" s="11"/>
      <c r="R13" s="11"/>
      <c r="S13" s="4"/>
    </row>
    <row r="14" spans="1:19" ht="28.2" x14ac:dyDescent="0.3">
      <c r="A14" s="4"/>
      <c r="B14" s="53" t="s">
        <v>66</v>
      </c>
      <c r="C14" s="8">
        <f>28.09+15.9*2</f>
        <v>59.89</v>
      </c>
      <c r="D14" s="9">
        <f>39.1+26.98*2+28.09*3+26.98+10*15.9+2*(15.9+1)</f>
        <v>397.10999999999996</v>
      </c>
      <c r="E14" s="9">
        <f>22.99+26.98+3*28.09+8*15.9</f>
        <v>261.44</v>
      </c>
      <c r="F14" s="9">
        <f>39.1+26.98+28.09*3+15.9*8</f>
        <v>277.55</v>
      </c>
      <c r="G14" s="32">
        <f>5*55.85+1+26.98+3*28.08+26.98+10*15.9+8*(1+15.9)</f>
        <v>712.65000000000009</v>
      </c>
      <c r="H14" s="8">
        <f>26.98*2+2*28.09+5*15.9+4*(1+15.9)</f>
        <v>257.24</v>
      </c>
      <c r="I14" s="32">
        <f>1*24.31+26.98*2+28.09*2+26.98*2+15.9*10+2*(15.9+1)</f>
        <v>381.21</v>
      </c>
      <c r="J14" s="5">
        <v>47</v>
      </c>
      <c r="K14" s="4">
        <v>59.8</v>
      </c>
      <c r="L14" s="4"/>
      <c r="M14" s="4"/>
      <c r="N14" s="4"/>
      <c r="O14" s="4"/>
      <c r="P14" s="4"/>
      <c r="Q14" s="4"/>
      <c r="R14" s="4"/>
      <c r="S14" s="4"/>
    </row>
    <row r="15" spans="1:19" x14ac:dyDescent="0.3">
      <c r="A15" s="4"/>
      <c r="B15" s="43" t="s">
        <v>45</v>
      </c>
      <c r="C15" s="8">
        <f t="shared" ref="C15:I15" si="3">(28*C13)/C14*100</f>
        <v>46.752379362163964</v>
      </c>
      <c r="D15" s="9">
        <f t="shared" si="3"/>
        <v>21.152829190904285</v>
      </c>
      <c r="E15" s="9">
        <f t="shared" si="3"/>
        <v>32.129742962056298</v>
      </c>
      <c r="F15" s="9">
        <f t="shared" si="3"/>
        <v>30.264817150063049</v>
      </c>
      <c r="G15" s="9">
        <f t="shared" si="3"/>
        <v>11.78699221216586</v>
      </c>
      <c r="H15" s="8">
        <f t="shared" si="3"/>
        <v>21.769553724148654</v>
      </c>
      <c r="I15" s="9">
        <f t="shared" si="3"/>
        <v>14.69006584297369</v>
      </c>
      <c r="J15" s="5">
        <f>J14+15.9*2</f>
        <v>78.8</v>
      </c>
      <c r="K15" s="4">
        <f>C15</f>
        <v>46.752379362163964</v>
      </c>
      <c r="L15" s="4"/>
      <c r="M15" s="4"/>
      <c r="N15" s="4"/>
      <c r="O15" s="4"/>
      <c r="P15" s="11"/>
      <c r="Q15" s="11"/>
      <c r="R15" s="11"/>
      <c r="S15" s="4"/>
    </row>
    <row r="16" spans="1:19" s="33" customFormat="1" ht="17.399999999999999" customHeight="1" x14ac:dyDescent="0.3">
      <c r="A16" s="17"/>
      <c r="B16" s="54"/>
      <c r="C16" s="18"/>
      <c r="D16" s="17"/>
      <c r="E16" s="17"/>
      <c r="F16" s="17"/>
      <c r="G16" s="17"/>
      <c r="H16" s="18"/>
      <c r="I16" s="17"/>
      <c r="J16" s="170" t="s">
        <v>88</v>
      </c>
      <c r="K16" s="171"/>
      <c r="L16" s="171"/>
      <c r="M16" s="171"/>
      <c r="N16" s="171"/>
      <c r="O16" s="171"/>
      <c r="P16" s="171"/>
      <c r="Q16" s="171"/>
      <c r="R16" s="171"/>
      <c r="S16" s="17"/>
    </row>
    <row r="17" spans="1:21" ht="21" customHeight="1" x14ac:dyDescent="0.3">
      <c r="A17" s="4"/>
      <c r="B17" s="43"/>
      <c r="C17" s="5"/>
      <c r="D17" s="4"/>
      <c r="E17" s="4"/>
      <c r="F17" s="4"/>
      <c r="G17" s="4"/>
      <c r="H17" s="5"/>
      <c r="I17" s="4"/>
      <c r="J17" s="167" t="s">
        <v>67</v>
      </c>
      <c r="K17" s="168"/>
      <c r="L17" s="169"/>
      <c r="M17" s="167" t="s">
        <v>68</v>
      </c>
      <c r="N17" s="168"/>
      <c r="O17" s="168"/>
      <c r="P17" s="168"/>
      <c r="Q17" s="168"/>
      <c r="R17" s="169"/>
      <c r="S17" s="4"/>
    </row>
    <row r="18" spans="1:21" s="28" customFormat="1" ht="28.8" customHeight="1" x14ac:dyDescent="0.3">
      <c r="A18" s="7"/>
      <c r="B18" s="55" t="s">
        <v>46</v>
      </c>
      <c r="C18" s="6"/>
      <c r="D18" s="7"/>
      <c r="E18" s="7"/>
      <c r="F18" s="7"/>
      <c r="G18" s="7"/>
      <c r="H18" s="6"/>
      <c r="I18" s="7"/>
      <c r="J18" s="39" t="s">
        <v>76</v>
      </c>
      <c r="K18" s="39" t="s">
        <v>77</v>
      </c>
      <c r="L18" s="39" t="s">
        <v>47</v>
      </c>
      <c r="M18" s="40"/>
      <c r="N18" s="41" t="s">
        <v>83</v>
      </c>
      <c r="O18" s="42" t="s">
        <v>84</v>
      </c>
      <c r="P18" s="45" t="s">
        <v>85</v>
      </c>
      <c r="Q18" s="46" t="s">
        <v>86</v>
      </c>
      <c r="R18" s="47" t="s">
        <v>87</v>
      </c>
      <c r="S18" s="7"/>
      <c r="T18" s="34"/>
      <c r="U18" s="34"/>
    </row>
    <row r="19" spans="1:21" x14ac:dyDescent="0.3">
      <c r="A19" s="4"/>
      <c r="B19" s="43" t="s">
        <v>58</v>
      </c>
      <c r="C19" s="8">
        <f t="shared" ref="C19:E20" si="4">C3*C$15/100</f>
        <v>29.266989480714642</v>
      </c>
      <c r="D19" s="9">
        <f t="shared" si="4"/>
        <v>2.7350608143839241</v>
      </c>
      <c r="E19" s="9">
        <f t="shared" si="4"/>
        <v>3.5503365973072207</v>
      </c>
      <c r="F19" s="9"/>
      <c r="G19" s="9">
        <f>G3*G$15/100</f>
        <v>1.5794569564302252</v>
      </c>
      <c r="H19" s="8"/>
      <c r="I19" s="9"/>
      <c r="J19" s="8">
        <f t="shared" ref="J19:J27" si="5">N3*J$15/100</f>
        <v>1.550746850087015</v>
      </c>
      <c r="K19" s="9">
        <f t="shared" ref="K19:K27" si="6">M3*K$15/100</f>
        <v>24.520731438131993</v>
      </c>
      <c r="L19" s="5"/>
      <c r="M19" s="5"/>
      <c r="N19" s="5"/>
      <c r="O19" s="4"/>
      <c r="P19" s="5"/>
      <c r="Q19" s="4"/>
      <c r="R19" s="48"/>
      <c r="S19" s="4"/>
    </row>
    <row r="20" spans="1:21" x14ac:dyDescent="0.3">
      <c r="A20" s="4"/>
      <c r="B20" s="43" t="s">
        <v>50</v>
      </c>
      <c r="C20" s="8">
        <f t="shared" si="4"/>
        <v>30.842736349974953</v>
      </c>
      <c r="D20" s="9">
        <f t="shared" si="4"/>
        <v>5.111851295610788</v>
      </c>
      <c r="E20" s="9">
        <f t="shared" si="4"/>
        <v>1.896868696450428</v>
      </c>
      <c r="F20" s="9"/>
      <c r="G20" s="9"/>
      <c r="H20" s="8">
        <f t="shared" ref="H20:H27" si="7">H4*H$15/100</f>
        <v>0.79848284870160158</v>
      </c>
      <c r="I20" s="9"/>
      <c r="J20" s="8">
        <f t="shared" si="5"/>
        <v>1.9281715874008798</v>
      </c>
      <c r="K20" s="9">
        <f t="shared" si="6"/>
        <v>6.1379799214487818</v>
      </c>
      <c r="L20" s="8">
        <f t="shared" ref="L20:L27" si="8">1-(J$19/J20)</f>
        <v>0.19574229792620401</v>
      </c>
      <c r="M20" s="8">
        <f t="shared" ref="M20:M27" si="9">((D20+E20+F20+G20)*J$19)/((D$19+E$19+F$19+G$19)*J20)-1</f>
        <v>-0.28329034824324917</v>
      </c>
      <c r="N20" s="19">
        <f t="shared" ref="N20:N27" si="10">(H20+I20)/(D$19+H$19+E$19+G$19)</f>
        <v>0.10152544615932034</v>
      </c>
      <c r="O20" s="20">
        <f t="shared" ref="O20:O27" si="11">(1-L20)*N20</f>
        <v>8.1652622030111879E-2</v>
      </c>
      <c r="P20" s="38">
        <f>Q4*K15/100</f>
        <v>8.4927567206545332E-2</v>
      </c>
      <c r="Q20" s="12">
        <f>P20/(D$19+H$19+E$19+G$19)</f>
        <v>1.0798364881463338E-2</v>
      </c>
      <c r="R20" s="49">
        <f>(1-L20)*Q20</f>
        <v>8.6846681257200815E-3</v>
      </c>
      <c r="S20" s="4"/>
    </row>
    <row r="21" spans="1:21" x14ac:dyDescent="0.3">
      <c r="A21" s="4"/>
      <c r="B21" s="43" t="s">
        <v>51</v>
      </c>
      <c r="C21" s="8">
        <f t="shared" ref="C21:D27" si="12">C5*C$15/100</f>
        <v>29.840740758056437</v>
      </c>
      <c r="D21" s="9">
        <f t="shared" si="12"/>
        <v>5.2261643574828129</v>
      </c>
      <c r="E21" s="9"/>
      <c r="F21" s="9"/>
      <c r="G21" s="9"/>
      <c r="H21" s="8">
        <f t="shared" si="7"/>
        <v>0.85317260457160626</v>
      </c>
      <c r="I21" s="9">
        <f>I5*I$15/100</f>
        <v>0.50367173578867286</v>
      </c>
      <c r="J21" s="8">
        <f t="shared" si="5"/>
        <v>1.7733883163262123</v>
      </c>
      <c r="K21" s="9">
        <f t="shared" si="6"/>
        <v>14.691520159534631</v>
      </c>
      <c r="L21" s="8">
        <f t="shared" si="8"/>
        <v>0.12554580640320556</v>
      </c>
      <c r="M21" s="8">
        <f t="shared" si="9"/>
        <v>-0.41892867624469943</v>
      </c>
      <c r="N21" s="19">
        <f t="shared" si="10"/>
        <v>0.17251995737644923</v>
      </c>
      <c r="O21" s="20">
        <f t="shared" si="11"/>
        <v>0.15086080020697626</v>
      </c>
      <c r="P21" s="38"/>
      <c r="Q21" s="12"/>
      <c r="R21" s="49"/>
      <c r="S21" s="4"/>
    </row>
    <row r="22" spans="1:21" x14ac:dyDescent="0.3">
      <c r="A22" s="4"/>
      <c r="B22" s="43" t="s">
        <v>52</v>
      </c>
      <c r="C22" s="8">
        <f t="shared" si="12"/>
        <v>24.005707196526963</v>
      </c>
      <c r="D22" s="9">
        <f t="shared" si="12"/>
        <v>7.3577647805393971</v>
      </c>
      <c r="E22" s="9"/>
      <c r="F22" s="9"/>
      <c r="G22" s="9"/>
      <c r="H22" s="8">
        <f t="shared" si="7"/>
        <v>1.595634924584046</v>
      </c>
      <c r="I22" s="9"/>
      <c r="J22" s="21">
        <f t="shared" si="5"/>
        <v>1.4206063379220211</v>
      </c>
      <c r="K22" s="9">
        <f t="shared" si="6"/>
        <v>29.837627533832418</v>
      </c>
      <c r="L22" s="21">
        <f>1-(J$19/J22)</f>
        <v>-9.1609131038620895E-2</v>
      </c>
      <c r="M22" s="21">
        <f t="shared" si="9"/>
        <v>2.1227201742794577E-2</v>
      </c>
      <c r="N22" s="19">
        <f t="shared" si="10"/>
        <v>0.2028816873013741</v>
      </c>
      <c r="O22" s="22">
        <f t="shared" si="11"/>
        <v>0.22146750237870219</v>
      </c>
      <c r="P22" s="38"/>
      <c r="Q22" s="12"/>
      <c r="R22" s="49"/>
      <c r="S22" s="4"/>
    </row>
    <row r="23" spans="1:21" x14ac:dyDescent="0.3">
      <c r="A23" s="4"/>
      <c r="B23" s="43" t="s">
        <v>53</v>
      </c>
      <c r="C23" s="8">
        <f t="shared" si="12"/>
        <v>25.538917348472197</v>
      </c>
      <c r="D23" s="9">
        <f t="shared" si="12"/>
        <v>6.7399657324167119</v>
      </c>
      <c r="E23" s="9">
        <f>E7*E$15/100</f>
        <v>1.1205288984088126</v>
      </c>
      <c r="F23" s="9"/>
      <c r="G23" s="9"/>
      <c r="H23" s="8">
        <f t="shared" si="7"/>
        <v>1.1261189861607837</v>
      </c>
      <c r="I23" s="9"/>
      <c r="J23" s="8">
        <f t="shared" si="5"/>
        <v>1.358484550357091</v>
      </c>
      <c r="K23" s="9">
        <f t="shared" si="6"/>
        <v>16.883590788064716</v>
      </c>
      <c r="L23" s="21">
        <f t="shared" si="8"/>
        <v>-0.14152704179034337</v>
      </c>
      <c r="M23" s="21">
        <f t="shared" si="9"/>
        <v>0.14089425728024718</v>
      </c>
      <c r="N23" s="19">
        <f t="shared" si="10"/>
        <v>0.14318370480263232</v>
      </c>
      <c r="O23" s="22">
        <f t="shared" si="11"/>
        <v>0.16344807097593064</v>
      </c>
      <c r="P23" s="38"/>
      <c r="Q23" s="12"/>
      <c r="R23" s="49"/>
      <c r="S23" s="4"/>
    </row>
    <row r="24" spans="1:21" x14ac:dyDescent="0.3">
      <c r="A24" s="4"/>
      <c r="B24" s="43" t="s">
        <v>54</v>
      </c>
      <c r="C24" s="8">
        <f t="shared" si="12"/>
        <v>31.374509133411252</v>
      </c>
      <c r="D24" s="9">
        <f t="shared" si="12"/>
        <v>4.5409195134849281</v>
      </c>
      <c r="E24" s="9">
        <f>E8*E$15/100</f>
        <v>2.4076048255813949</v>
      </c>
      <c r="F24" s="9"/>
      <c r="G24" s="9"/>
      <c r="H24" s="8">
        <f t="shared" si="7"/>
        <v>0.65413359664126891</v>
      </c>
      <c r="I24" s="9"/>
      <c r="J24" s="8">
        <f t="shared" si="5"/>
        <v>2.3313684100127618</v>
      </c>
      <c r="K24" s="9">
        <f t="shared" si="6"/>
        <v>16.952650235074952</v>
      </c>
      <c r="L24" s="8">
        <f t="shared" si="8"/>
        <v>0.33483406422302586</v>
      </c>
      <c r="M24" s="8">
        <f t="shared" si="9"/>
        <v>-0.41233219613090677</v>
      </c>
      <c r="N24" s="19">
        <f t="shared" si="10"/>
        <v>8.3171736693901155E-2</v>
      </c>
      <c r="O24" s="20">
        <f t="shared" si="11"/>
        <v>5.532300606819486E-2</v>
      </c>
      <c r="P24" s="38">
        <f>Q8*K15/100</f>
        <v>4.8535276673902158E-2</v>
      </c>
      <c r="Q24" s="12">
        <f>P24/(D$19+E$19+G$19)</f>
        <v>6.1711602532184568E-3</v>
      </c>
      <c r="R24" s="49">
        <f>(1-L24)*Q24</f>
        <v>4.1048455846617237E-3</v>
      </c>
      <c r="S24" s="4"/>
    </row>
    <row r="25" spans="1:21" x14ac:dyDescent="0.3">
      <c r="A25" s="4"/>
      <c r="B25" s="43" t="s">
        <v>55</v>
      </c>
      <c r="C25" s="8">
        <f t="shared" si="12"/>
        <v>34.082377024544996</v>
      </c>
      <c r="D25" s="9">
        <f t="shared" si="12"/>
        <v>4.0305897408778426</v>
      </c>
      <c r="E25" s="9">
        <f>E9*E$15/100</f>
        <v>1.2880126376988981</v>
      </c>
      <c r="F25" s="9"/>
      <c r="G25" s="9"/>
      <c r="H25" s="8">
        <f t="shared" si="7"/>
        <v>0.81993130150831905</v>
      </c>
      <c r="I25" s="9">
        <f>I9*I$15/100</f>
        <v>3.9724567561186745E-2</v>
      </c>
      <c r="J25" s="8">
        <f t="shared" si="5"/>
        <v>2.7750222524602051</v>
      </c>
      <c r="K25" s="9">
        <f t="shared" si="6"/>
        <v>10.868032400221033</v>
      </c>
      <c r="L25" s="8">
        <f t="shared" si="8"/>
        <v>0.44117678742496735</v>
      </c>
      <c r="M25" s="8">
        <f t="shared" si="9"/>
        <v>-0.62209618532130484</v>
      </c>
      <c r="N25" s="19">
        <f t="shared" si="10"/>
        <v>0.10930346943917367</v>
      </c>
      <c r="O25" s="20">
        <f t="shared" si="11"/>
        <v>6.1081315937595936E-2</v>
      </c>
      <c r="P25" s="5"/>
      <c r="Q25" s="4"/>
      <c r="R25" s="48"/>
      <c r="S25" s="4"/>
    </row>
    <row r="26" spans="1:21" x14ac:dyDescent="0.3">
      <c r="A26" s="4"/>
      <c r="B26" s="43" t="s">
        <v>56</v>
      </c>
      <c r="C26" s="8">
        <f t="shared" si="12"/>
        <v>29.074899382200698</v>
      </c>
      <c r="D26" s="9">
        <f t="shared" si="12"/>
        <v>4.5913171866737184</v>
      </c>
      <c r="E26" s="9">
        <f>E10*E$15/100</f>
        <v>1.3688165957772336</v>
      </c>
      <c r="F26" s="9">
        <f>F10*F$15/100</f>
        <v>1.6957150970996215</v>
      </c>
      <c r="G26" s="9"/>
      <c r="H26" s="8">
        <f t="shared" si="7"/>
        <v>1.2095548717151299</v>
      </c>
      <c r="I26" s="9">
        <f>I10*I$15/100</f>
        <v>6.2198975682694578E-2</v>
      </c>
      <c r="J26" s="8">
        <f t="shared" si="5"/>
        <v>1.9877170608544033</v>
      </c>
      <c r="K26" s="9">
        <f t="shared" si="6"/>
        <v>21.155612449882305</v>
      </c>
      <c r="L26" s="8">
        <f t="shared" si="8"/>
        <v>0.21983521667795136</v>
      </c>
      <c r="M26" s="8">
        <f t="shared" si="9"/>
        <v>-0.24056779659257521</v>
      </c>
      <c r="N26" s="19">
        <f t="shared" si="10"/>
        <v>0.16170087682139761</v>
      </c>
      <c r="O26" s="20">
        <f t="shared" si="11"/>
        <v>0.12615332952835095</v>
      </c>
      <c r="P26" s="5"/>
      <c r="Q26" s="4"/>
      <c r="R26" s="48"/>
      <c r="S26" s="4"/>
    </row>
    <row r="27" spans="1:21" s="30" customFormat="1" x14ac:dyDescent="0.3">
      <c r="A27" s="13"/>
      <c r="B27" s="44" t="s">
        <v>57</v>
      </c>
      <c r="C27" s="14">
        <f t="shared" si="12"/>
        <v>33.231441643012182</v>
      </c>
      <c r="D27" s="15">
        <f t="shared" si="12"/>
        <v>4.4348528820729776</v>
      </c>
      <c r="E27" s="15">
        <f>E11*E$15/100</f>
        <v>1.4274213433292531</v>
      </c>
      <c r="F27" s="15"/>
      <c r="G27" s="15"/>
      <c r="H27" s="14">
        <f t="shared" si="7"/>
        <v>0.65227007930337422</v>
      </c>
      <c r="I27" s="15">
        <f>I11*I$15/100</f>
        <v>1.6614373389995017E-2</v>
      </c>
      <c r="J27" s="14">
        <f t="shared" si="5"/>
        <v>2.6861325484709333</v>
      </c>
      <c r="K27" s="15">
        <f t="shared" si="6"/>
        <v>16.690688904752584</v>
      </c>
      <c r="L27" s="14">
        <f t="shared" si="8"/>
        <v>0.42268416688157506</v>
      </c>
      <c r="M27" s="14">
        <f t="shared" si="9"/>
        <v>-0.56968259423535073</v>
      </c>
      <c r="N27" s="77">
        <f t="shared" si="10"/>
        <v>8.5047277595445378E-2</v>
      </c>
      <c r="O27" s="78">
        <f t="shared" si="11"/>
        <v>4.9099139919468501E-2</v>
      </c>
      <c r="P27" s="79"/>
      <c r="Q27" s="13"/>
      <c r="R27" s="80"/>
      <c r="S27" s="13"/>
    </row>
    <row r="28" spans="1:21" x14ac:dyDescent="0.3">
      <c r="A28" s="4"/>
      <c r="B28" s="4"/>
      <c r="C28" s="5"/>
      <c r="D28" s="4"/>
      <c r="E28" s="4"/>
      <c r="F28" s="4"/>
      <c r="G28" s="4"/>
      <c r="H28" s="5"/>
      <c r="I28" s="4"/>
      <c r="J28" s="5"/>
      <c r="K28" s="4" t="s">
        <v>48</v>
      </c>
      <c r="L28" s="81">
        <f>AVERAGE(L20:L27)</f>
        <v>0.18833527083849561</v>
      </c>
      <c r="M28" s="81">
        <f>AVERAGE(M20:M27)</f>
        <v>-0.29809704221813055</v>
      </c>
      <c r="N28" s="9"/>
      <c r="O28" s="9">
        <f>AVERAGE(O20:O27)</f>
        <v>0.11363572338066638</v>
      </c>
      <c r="P28" s="18"/>
      <c r="Q28" s="17"/>
      <c r="R28" s="82">
        <f>AVERAGE(R20:R27)</f>
        <v>6.3947568551909022E-3</v>
      </c>
      <c r="S28" s="4"/>
    </row>
    <row r="29" spans="1:21" x14ac:dyDescent="0.3">
      <c r="A29" s="4"/>
      <c r="B29" s="4"/>
      <c r="C29" s="5"/>
      <c r="D29" s="4"/>
      <c r="E29" s="4"/>
      <c r="F29" s="4"/>
      <c r="G29" s="4"/>
      <c r="H29" s="5"/>
      <c r="I29" s="4"/>
      <c r="J29" s="5"/>
      <c r="K29" s="4" t="s">
        <v>49</v>
      </c>
      <c r="L29" s="83">
        <f>_xlfn.STDEV.S(L20:L27)</f>
        <v>0.21793766309491219</v>
      </c>
      <c r="M29" s="83">
        <f>_xlfn.STDEV.S(M20:M27)</f>
        <v>0.26848631172139259</v>
      </c>
      <c r="N29" s="9"/>
      <c r="O29" s="9">
        <f>_xlfn.STDEV.S(O20:O27)</f>
        <v>6.2107726068876733E-2</v>
      </c>
      <c r="P29" s="5"/>
      <c r="Q29" s="4"/>
      <c r="R29" s="84">
        <f>_xlfn.STDEV.S(R20:R27)</f>
        <v>3.2384235754133722E-3</v>
      </c>
      <c r="S29" s="4"/>
    </row>
    <row r="30" spans="1:21" x14ac:dyDescent="0.3">
      <c r="A30" s="4"/>
      <c r="B30" s="4"/>
      <c r="C30" s="5"/>
      <c r="D30" s="4"/>
      <c r="E30" s="4"/>
      <c r="F30" s="4"/>
      <c r="G30" s="4"/>
      <c r="H30" s="5"/>
      <c r="I30" s="4"/>
      <c r="J30" s="5"/>
      <c r="K30" s="13" t="s">
        <v>31</v>
      </c>
      <c r="L30" s="44">
        <v>8</v>
      </c>
      <c r="M30" s="85">
        <v>8</v>
      </c>
      <c r="N30" s="15"/>
      <c r="O30" s="86">
        <v>8</v>
      </c>
      <c r="P30" s="79"/>
      <c r="Q30" s="13"/>
      <c r="R30" s="87">
        <v>2</v>
      </c>
      <c r="S30" s="4"/>
    </row>
    <row r="31" spans="1:21" x14ac:dyDescent="0.3">
      <c r="A31" s="76" t="s">
        <v>91</v>
      </c>
      <c r="B31" s="4"/>
      <c r="C31" s="25"/>
      <c r="D31" s="26"/>
      <c r="E31" s="26"/>
      <c r="F31" s="26"/>
      <c r="G31" s="4"/>
      <c r="H31" s="25"/>
      <c r="I31" s="26"/>
      <c r="J31" s="5"/>
      <c r="K31" s="17" t="s">
        <v>48</v>
      </c>
      <c r="L31" s="88">
        <f>AVERAGE(L20:L21,L24:L27)</f>
        <v>0.28996972325615489</v>
      </c>
      <c r="M31" s="89">
        <f>AVERAGE(M20:M21,M24:M27)</f>
        <v>-0.42448296612801434</v>
      </c>
      <c r="N31" s="90"/>
      <c r="O31" s="91">
        <f>AVERAGE(O24:O27,O20:O21)</f>
        <v>8.7361702281783069E-2</v>
      </c>
      <c r="P31" s="18"/>
      <c r="Q31" s="17"/>
      <c r="R31" s="92" t="s">
        <v>82</v>
      </c>
      <c r="S31" s="4"/>
    </row>
    <row r="32" spans="1:21" x14ac:dyDescent="0.3">
      <c r="A32" s="104" t="s">
        <v>90</v>
      </c>
      <c r="B32" s="4"/>
      <c r="C32" s="5"/>
      <c r="D32" s="4"/>
      <c r="E32" s="4"/>
      <c r="F32" s="4"/>
      <c r="G32" s="4"/>
      <c r="H32" s="5"/>
      <c r="I32" s="4"/>
      <c r="J32" s="5"/>
      <c r="K32" s="4" t="s">
        <v>29</v>
      </c>
      <c r="L32" s="93">
        <f>_xlfn.STDEV.S(L20:L21,L24:L27)</f>
        <v>0.12909096794299199</v>
      </c>
      <c r="M32" s="94">
        <f>_xlfn.STDEV.S(M20:M21,M24:M27)</f>
        <v>0.15104473024933862</v>
      </c>
      <c r="N32" s="95"/>
      <c r="O32" s="96">
        <f>_xlfn.STDEV.S(O24:O27,O20:O21)</f>
        <v>4.183462637353489E-2</v>
      </c>
      <c r="P32" s="5"/>
      <c r="Q32" s="4"/>
      <c r="R32" s="48"/>
      <c r="S32" s="4"/>
    </row>
    <row r="33" spans="1:40" x14ac:dyDescent="0.3">
      <c r="A33" s="4"/>
      <c r="B33" s="4"/>
      <c r="C33" s="8"/>
      <c r="D33" s="9"/>
      <c r="E33" s="9"/>
      <c r="F33" s="9"/>
      <c r="G33" s="4"/>
      <c r="H33" s="8"/>
      <c r="I33" s="9"/>
      <c r="J33" s="5"/>
      <c r="K33" s="4" t="s">
        <v>31</v>
      </c>
      <c r="L33" s="97">
        <v>6</v>
      </c>
      <c r="M33" s="98">
        <v>6</v>
      </c>
      <c r="N33" s="95"/>
      <c r="O33" s="99">
        <v>6</v>
      </c>
      <c r="P33" s="5"/>
      <c r="Q33" s="4"/>
      <c r="R33" s="48"/>
      <c r="S33" s="4"/>
    </row>
    <row r="34" spans="1:40" x14ac:dyDescent="0.3">
      <c r="A34" s="4"/>
      <c r="B34" s="4"/>
      <c r="C34" s="8"/>
      <c r="D34" s="9"/>
      <c r="E34" s="9"/>
      <c r="F34" s="9"/>
      <c r="H34" s="8"/>
      <c r="I34" s="9"/>
      <c r="J34" s="5"/>
      <c r="K34" s="13"/>
      <c r="L34" s="100" t="s">
        <v>81</v>
      </c>
      <c r="M34" s="101" t="s">
        <v>82</v>
      </c>
      <c r="N34" s="102"/>
      <c r="O34" s="103" t="s">
        <v>82</v>
      </c>
      <c r="P34" s="79"/>
      <c r="Q34" s="13"/>
      <c r="R34" s="80"/>
      <c r="S34" s="4"/>
    </row>
    <row r="35" spans="1:40" x14ac:dyDescent="0.3">
      <c r="A35" s="4"/>
      <c r="B35" s="4"/>
      <c r="C35" s="8"/>
      <c r="D35" s="9"/>
      <c r="E35" s="9"/>
      <c r="F35" s="9"/>
      <c r="G35" s="4"/>
      <c r="H35" s="8"/>
      <c r="I35" s="9"/>
      <c r="J35" s="5"/>
      <c r="K35" s="4"/>
      <c r="L35" s="4"/>
      <c r="M35" s="4"/>
      <c r="N35" s="4"/>
      <c r="O35" s="4"/>
      <c r="P35" s="4"/>
      <c r="Q35" s="4"/>
      <c r="R35" s="4"/>
      <c r="S35" s="4"/>
    </row>
    <row r="36" spans="1:40" x14ac:dyDescent="0.3">
      <c r="A36" s="4"/>
      <c r="B36" s="4"/>
      <c r="C36" s="8"/>
      <c r="D36" s="9"/>
      <c r="E36" s="9"/>
      <c r="F36" s="9"/>
      <c r="G36" s="4"/>
      <c r="H36" s="8"/>
      <c r="I36" s="9"/>
      <c r="J36" s="5"/>
      <c r="K36" s="4"/>
      <c r="L36" s="4"/>
      <c r="M36" s="4"/>
      <c r="N36" s="4"/>
      <c r="O36" s="4"/>
      <c r="P36" s="4"/>
      <c r="Q36" s="4"/>
      <c r="R36" s="4"/>
      <c r="S36" s="4"/>
    </row>
    <row r="37" spans="1:40" x14ac:dyDescent="0.3">
      <c r="A37" s="4"/>
      <c r="B37" s="4"/>
      <c r="C37" s="8"/>
      <c r="D37" s="9"/>
      <c r="E37" s="9"/>
      <c r="F37" s="9"/>
      <c r="G37" s="4"/>
      <c r="H37" s="8"/>
      <c r="I37" s="9"/>
      <c r="J37" s="5"/>
      <c r="K37" s="4"/>
      <c r="L37" s="4"/>
      <c r="M37" s="4"/>
      <c r="N37" s="4"/>
      <c r="O37" s="4"/>
      <c r="P37" s="4"/>
      <c r="Q37" s="4"/>
      <c r="R37" s="4"/>
      <c r="S37" s="4"/>
    </row>
    <row r="38" spans="1:40" x14ac:dyDescent="0.3">
      <c r="C38" s="35"/>
      <c r="D38" s="36"/>
      <c r="E38" s="36"/>
      <c r="F38" s="36"/>
      <c r="H38" s="35"/>
      <c r="I38" s="36"/>
    </row>
    <row r="39" spans="1:40" x14ac:dyDescent="0.3">
      <c r="C39" s="35"/>
      <c r="D39" s="36"/>
      <c r="E39" s="36"/>
      <c r="F39" s="36"/>
      <c r="H39" s="35"/>
      <c r="I39" s="36"/>
    </row>
    <row r="40" spans="1:40" s="3" customFormat="1" x14ac:dyDescent="0.3">
      <c r="A40"/>
      <c r="B40"/>
      <c r="C40" s="35"/>
      <c r="D40" s="36"/>
      <c r="E40" s="36"/>
      <c r="F40" s="36"/>
      <c r="G40"/>
      <c r="H40" s="35"/>
      <c r="I40" s="36"/>
      <c r="J40" s="3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</row>
    <row r="41" spans="1:40" x14ac:dyDescent="0.3">
      <c r="C41" s="35"/>
      <c r="D41" s="36"/>
      <c r="E41" s="36"/>
      <c r="F41" s="36"/>
      <c r="H41" s="35"/>
      <c r="I41" s="36"/>
    </row>
    <row r="47" spans="1:40" x14ac:dyDescent="0.3">
      <c r="C47" s="1"/>
      <c r="D47" s="2"/>
      <c r="E47" s="2"/>
      <c r="F47" s="2"/>
      <c r="H47" s="1"/>
      <c r="I47" s="2"/>
    </row>
    <row r="48" spans="1:40" x14ac:dyDescent="0.3">
      <c r="C48" s="35"/>
      <c r="D48" s="36"/>
      <c r="E48" s="36"/>
      <c r="F48" s="36"/>
      <c r="G48" s="36"/>
      <c r="H48" s="35"/>
      <c r="I48" s="36"/>
    </row>
    <row r="49" spans="3:20" x14ac:dyDescent="0.3">
      <c r="C49" s="35"/>
      <c r="D49" s="36"/>
      <c r="E49" s="36"/>
      <c r="F49" s="36"/>
      <c r="G49" s="36"/>
      <c r="H49" s="35"/>
      <c r="I49" s="36"/>
    </row>
    <row r="50" spans="3:20" x14ac:dyDescent="0.3">
      <c r="C50" s="35"/>
      <c r="D50" s="36"/>
      <c r="E50" s="36"/>
      <c r="F50" s="36"/>
      <c r="G50" s="36"/>
      <c r="H50" s="35"/>
      <c r="I50" s="36"/>
    </row>
    <row r="51" spans="3:20" x14ac:dyDescent="0.3">
      <c r="C51" s="35"/>
      <c r="D51" s="36"/>
      <c r="E51" s="36"/>
      <c r="F51" s="36"/>
      <c r="G51" s="36"/>
      <c r="H51" s="35"/>
      <c r="I51" s="36"/>
    </row>
    <row r="52" spans="3:20" x14ac:dyDescent="0.3">
      <c r="C52" s="35"/>
      <c r="D52" s="36"/>
      <c r="E52" s="36"/>
      <c r="F52" s="36"/>
      <c r="G52" s="36"/>
      <c r="H52" s="35"/>
      <c r="I52" s="36"/>
    </row>
    <row r="53" spans="3:20" x14ac:dyDescent="0.3">
      <c r="C53" s="35"/>
      <c r="D53" s="36"/>
      <c r="E53" s="36"/>
      <c r="F53" s="36"/>
      <c r="G53" s="36"/>
      <c r="H53" s="35"/>
      <c r="I53" s="36"/>
    </row>
    <row r="54" spans="3:20" x14ac:dyDescent="0.3">
      <c r="C54" s="35"/>
      <c r="D54" s="36"/>
      <c r="E54" s="36"/>
      <c r="F54" s="36"/>
      <c r="G54" s="36"/>
      <c r="H54" s="35"/>
      <c r="I54" s="36"/>
    </row>
    <row r="55" spans="3:20" x14ac:dyDescent="0.3">
      <c r="C55" s="35"/>
      <c r="D55" s="36"/>
      <c r="E55" s="36"/>
      <c r="F55" s="36"/>
      <c r="G55" s="36"/>
      <c r="H55" s="35"/>
      <c r="I55" s="36"/>
    </row>
    <row r="56" spans="3:20" x14ac:dyDescent="0.3">
      <c r="C56" s="35"/>
      <c r="D56" s="36"/>
      <c r="E56" s="36"/>
      <c r="F56" s="36"/>
      <c r="G56" s="36"/>
      <c r="H56" s="35"/>
      <c r="I56" s="36"/>
    </row>
    <row r="57" spans="3:20" x14ac:dyDescent="0.3">
      <c r="C57" s="35"/>
      <c r="D57" s="36"/>
      <c r="E57" s="36"/>
      <c r="F57" s="36"/>
      <c r="G57" s="36"/>
      <c r="H57" s="35"/>
      <c r="I57" s="36"/>
    </row>
    <row r="58" spans="3:20" x14ac:dyDescent="0.3">
      <c r="C58" s="35"/>
      <c r="D58" s="36"/>
      <c r="E58" s="36"/>
      <c r="F58" s="36"/>
      <c r="G58" s="36"/>
      <c r="H58" s="35"/>
      <c r="I58" s="36"/>
    </row>
    <row r="64" spans="3:20" x14ac:dyDescent="0.3">
      <c r="S64" s="36"/>
      <c r="T64" s="36"/>
    </row>
    <row r="65" spans="19:20" x14ac:dyDescent="0.3">
      <c r="S65" s="36"/>
      <c r="T65" s="36"/>
    </row>
    <row r="66" spans="19:20" x14ac:dyDescent="0.3">
      <c r="S66" s="36"/>
      <c r="T66" s="36"/>
    </row>
    <row r="67" spans="19:20" x14ac:dyDescent="0.3">
      <c r="S67" s="36"/>
      <c r="T67" s="36"/>
    </row>
    <row r="68" spans="19:20" x14ac:dyDescent="0.3">
      <c r="S68" s="36"/>
      <c r="T68" s="36"/>
    </row>
    <row r="69" spans="19:20" x14ac:dyDescent="0.3">
      <c r="S69" s="36"/>
      <c r="T69" s="36"/>
    </row>
    <row r="70" spans="19:20" x14ac:dyDescent="0.3">
      <c r="S70" s="36"/>
      <c r="T70" s="36"/>
    </row>
  </sheetData>
  <mergeCells count="5">
    <mergeCell ref="C1:G1"/>
    <mergeCell ref="H1:I1"/>
    <mergeCell ref="M17:R17"/>
    <mergeCell ref="J17:L17"/>
    <mergeCell ref="J16:R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Antonio</dc:creator>
  <cp:lastModifiedBy>Francisco Antonio</cp:lastModifiedBy>
  <dcterms:created xsi:type="dcterms:W3CDTF">2024-10-01T07:57:06Z</dcterms:created>
  <dcterms:modified xsi:type="dcterms:W3CDTF">2025-05-30T18:38:09Z</dcterms:modified>
</cp:coreProperties>
</file>